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Sheet1" sheetId="1" r:id="rId1"/>
    <sheet name="Sheet3" sheetId="2" r:id="rId2"/>
    <sheet name="Sheet4" sheetId="3" r:id="rId3"/>
  </sheets>
  <definedNames>
    <definedName name="_xlnm.Print_Area" localSheetId="0">'Sheet1'!$A$1:$I$125</definedName>
    <definedName name="_xlnm.Print_Titles" localSheetId="0">'Sheet1'!$5:$6</definedName>
  </definedNames>
  <calcPr fullCalcOnLoad="1"/>
</workbook>
</file>

<file path=xl/comments1.xml><?xml version="1.0" encoding="utf-8"?>
<comments xmlns="http://schemas.openxmlformats.org/spreadsheetml/2006/main">
  <authors>
    <author>TA MY HOA</author>
  </authors>
  <commentList>
    <comment ref="D99" authorId="0">
      <text>
        <r>
          <rPr>
            <sz val="9"/>
            <rFont val="Tahoma"/>
            <family val="2"/>
          </rPr>
          <t xml:space="preserve">thâm canh 1553 ha
</t>
        </r>
      </text>
    </comment>
    <comment ref="G99" authorId="0">
      <text>
        <r>
          <rPr>
            <b/>
            <sz val="9"/>
            <rFont val="Tahoma"/>
            <family val="2"/>
          </rPr>
          <t xml:space="preserve">Thâm canh 1500 ha
</t>
        </r>
      </text>
    </comment>
    <comment ref="D100" authorId="0">
      <text>
        <r>
          <rPr>
            <sz val="9"/>
            <rFont val="Tahoma"/>
            <family val="2"/>
          </rPr>
          <t xml:space="preserve">thâm canh mật độ cao 347
</t>
        </r>
      </text>
    </comment>
    <comment ref="G100" authorId="0">
      <text>
        <r>
          <rPr>
            <b/>
            <sz val="9"/>
            <rFont val="Tahoma"/>
            <family val="2"/>
          </rPr>
          <t xml:space="preserve">Nuôi thâm canh mật độ cao 400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<sst xmlns="http://schemas.openxmlformats.org/spreadsheetml/2006/main" count="288" uniqueCount="130">
  <si>
    <t>BÁO CÁO SẢN XUẤT NÔNG, LÂM, DIÊM NGHIỆP VÀ THỦY SẢN</t>
  </si>
  <si>
    <t>Chỉ tiêu</t>
  </si>
  <si>
    <t>ĐVT</t>
  </si>
  <si>
    <t>% so sánh với</t>
  </si>
  <si>
    <t>Kế hoạch</t>
  </si>
  <si>
    <t>A</t>
  </si>
  <si>
    <t>SẢN XUẤT NÔNG NGHIỆP</t>
  </si>
  <si>
    <t>TRỒNG TRỌT</t>
  </si>
  <si>
    <t>Cây hàng năm</t>
  </si>
  <si>
    <t>Tổng DT gieo trồng</t>
  </si>
  <si>
    <t>Ha</t>
  </si>
  <si>
    <t>Cây lương thực có hạt</t>
  </si>
  <si>
    <t>Cây lúa</t>
  </si>
  <si>
    <t xml:space="preserve"> - Diện tích thu hoạch</t>
  </si>
  <si>
    <t xml:space="preserve"> - Năng suất </t>
  </si>
  <si>
    <t>Tạ/ha</t>
  </si>
  <si>
    <t xml:space="preserve"> - Sản lượng</t>
  </si>
  <si>
    <t>tấn</t>
  </si>
  <si>
    <t>ha</t>
  </si>
  <si>
    <t>Diện tích gieo trồng</t>
  </si>
  <si>
    <t>Diện tích thu hoạch</t>
  </si>
  <si>
    <t>Cây bắp</t>
  </si>
  <si>
    <t>''</t>
  </si>
  <si>
    <t>Tấn</t>
  </si>
  <si>
    <t>1.2.</t>
  </si>
  <si>
    <t xml:space="preserve">Khoai lang </t>
  </si>
  <si>
    <t xml:space="preserve"> + Diện tích gieo trồng</t>
  </si>
  <si>
    <t xml:space="preserve"> + Diện tích thu hoạch</t>
  </si>
  <si>
    <t xml:space="preserve"> + Năng suất </t>
  </si>
  <si>
    <t xml:space="preserve"> + Sản lượng </t>
  </si>
  <si>
    <t xml:space="preserve">Cây có củ khác </t>
  </si>
  <si>
    <t>Cây thực phẩm</t>
  </si>
  <si>
    <t>Rau các loại</t>
  </si>
  <si>
    <t xml:space="preserve"> + DT gieo trồng </t>
  </si>
  <si>
    <t>Đậu các loại</t>
  </si>
  <si>
    <t>Cây công nghiệp hàng năm</t>
  </si>
  <si>
    <t xml:space="preserve"> </t>
  </si>
  <si>
    <t>Đậu phộng</t>
  </si>
  <si>
    <t>Mía</t>
  </si>
  <si>
    <t xml:space="preserve"> + Diện tích trồng</t>
  </si>
  <si>
    <t xml:space="preserve"> + Năng suất</t>
  </si>
  <si>
    <t>Cây lác (cói)</t>
  </si>
  <si>
    <t>Cây trồng khác</t>
  </si>
  <si>
    <t>B</t>
  </si>
  <si>
    <t>1.</t>
  </si>
  <si>
    <t xml:space="preserve"> ''</t>
  </si>
  <si>
    <t>2.</t>
  </si>
  <si>
    <t>THỦY SẢN</t>
  </si>
  <si>
    <t>Tổng diện tích nuôi</t>
  </si>
  <si>
    <t>Nuôi nước ngọt</t>
  </si>
  <si>
    <t xml:space="preserve"> - Diện tích nuôi cá</t>
  </si>
  <si>
    <t xml:space="preserve"> - Diện tích nuôi giáp xác</t>
  </si>
  <si>
    <t xml:space="preserve">    Trong đó: tôm càng xanh</t>
  </si>
  <si>
    <t xml:space="preserve"> - Diện tích nuôi khác</t>
  </si>
  <si>
    <t>Nuôi nước mặn, lợ</t>
  </si>
  <si>
    <t xml:space="preserve"> Trong đó: + Tôm sú</t>
  </si>
  <si>
    <t xml:space="preserve">                + Cua biển                   </t>
  </si>
  <si>
    <t>Triệu con</t>
  </si>
  <si>
    <t>Tổng sản lượng thủy sản</t>
  </si>
  <si>
    <t>4.1</t>
  </si>
  <si>
    <t>Tổng sản lượng nuôi</t>
  </si>
  <si>
    <t>4.1.1</t>
  </si>
  <si>
    <t xml:space="preserve"> - Sản lượng cá</t>
  </si>
  <si>
    <t xml:space="preserve"> - Sản lượng giáp xác</t>
  </si>
  <si>
    <r>
      <t xml:space="preserve">    Trong đó: tôm càng xanh</t>
    </r>
  </si>
  <si>
    <t xml:space="preserve"> - Sản lượng thủy sản khác</t>
  </si>
  <si>
    <r>
      <t xml:space="preserve">    Trong đó: + Tôm sú</t>
    </r>
  </si>
  <si>
    <t xml:space="preserve">                   + Nuôi cua biển</t>
  </si>
  <si>
    <t>4.2</t>
  </si>
  <si>
    <t>Tổng sản lượng khai thác</t>
  </si>
  <si>
    <t>Khai thác biển</t>
  </si>
  <si>
    <t>4.2.2</t>
  </si>
  <si>
    <t>Khai thác nội địa</t>
  </si>
  <si>
    <t>4.1.2</t>
  </si>
  <si>
    <t>4.2.1</t>
  </si>
  <si>
    <t xml:space="preserve">                      + Cá lóc</t>
  </si>
  <si>
    <t xml:space="preserve"> - Diện tích nuôi khác
 (nghêu - sò huyết)</t>
  </si>
  <si>
    <t xml:space="preserve"> - Sản lượng tôm nuôi</t>
  </si>
  <si>
    <t xml:space="preserve"> - Sản lượng thủy sản khác
 (nghêu - sò huyết)</t>
  </si>
  <si>
    <t>1.1</t>
  </si>
  <si>
    <t xml:space="preserve">                     + Cá lóc</t>
  </si>
  <si>
    <t>* Tình hình thiệt hại tôm sú</t>
  </si>
  <si>
    <t xml:space="preserve"> - Tổng số hộ thả nuôi</t>
  </si>
  <si>
    <t>Lượt hộ</t>
  </si>
  <si>
    <t xml:space="preserve"> - Số hộ bị thiệt hại</t>
  </si>
  <si>
    <t xml:space="preserve"> - Diện tích thả nuôi</t>
  </si>
  <si>
    <t xml:space="preserve"> - Diện tích bị thiệt hại</t>
  </si>
  <si>
    <t xml:space="preserve"> - Số con giống thả nuôi</t>
  </si>
  <si>
    <t xml:space="preserve"> - Số con giống bị thiệt hại</t>
  </si>
  <si>
    <t xml:space="preserve"> - Tỷ lệ con giống bị thiệt hại</t>
  </si>
  <si>
    <t>%</t>
  </si>
  <si>
    <t>* Tình hình thiệt hại tôm thẻ chân trắng</t>
  </si>
  <si>
    <t>a</t>
  </si>
  <si>
    <t>b</t>
  </si>
  <si>
    <t>c</t>
  </si>
  <si>
    <t>Màu lương thực</t>
  </si>
  <si>
    <t>Khoai mì</t>
  </si>
  <si>
    <t>C</t>
  </si>
  <si>
    <t>LÂM NGHIỆP</t>
  </si>
  <si>
    <t xml:space="preserve"> - DT rừng trồng tập trung</t>
  </si>
  <si>
    <t xml:space="preserve"> -  Chăm sóc rừng</t>
  </si>
  <si>
    <t xml:space="preserve"> - DT giao khoán bảo vệ</t>
  </si>
  <si>
    <t>- Sản lượng cá các loại</t>
  </si>
  <si>
    <t>- Sản lượng tôm các loại</t>
  </si>
  <si>
    <t>- Sản lượng thủy sản khác</t>
  </si>
  <si>
    <t xml:space="preserve"> - Sản lượng cá khai thác</t>
  </si>
  <si>
    <t>- Sản lượng giáp xác khai thác</t>
  </si>
  <si>
    <t>- SL hải sản khác khai thác</t>
  </si>
  <si>
    <t xml:space="preserve">    Trong đó: + Cá tra</t>
  </si>
  <si>
    <t>Tổng sản lượng</t>
  </si>
  <si>
    <t>Sản lượng thu hoạch</t>
  </si>
  <si>
    <t>Sản lượng</t>
  </si>
  <si>
    <t>Năm 2021</t>
  </si>
  <si>
    <t>STT</t>
  </si>
  <si>
    <t>Thực hiện 
cùng kỳ</t>
  </si>
  <si>
    <t xml:space="preserve"> Cùng kỳ</t>
  </si>
  <si>
    <t xml:space="preserve"> Kế hoạch</t>
  </si>
  <si>
    <t xml:space="preserve"> - Diện tích xuống giống</t>
  </si>
  <si>
    <t xml:space="preserve"> THÁNG 12 NĂM 2021</t>
  </si>
  <si>
    <t xml:space="preserve"> (Ước tính đến ngày 15/12/2021)</t>
  </si>
  <si>
    <t>Cây màu năm 2022</t>
  </si>
  <si>
    <t>Vụ Thu đông 2021</t>
  </si>
  <si>
    <t>Lúa mùa 2021-2022</t>
  </si>
  <si>
    <t>Vụ Đông Xuân 2021-2022</t>
  </si>
  <si>
    <t>UTH
tháng 12</t>
  </si>
  <si>
    <t>Ước TH 12 tháng</t>
  </si>
  <si>
    <t xml:space="preserve">    Trong đó:    + Cá tra</t>
  </si>
  <si>
    <t xml:space="preserve">                + Tôm thẻ CT</t>
  </si>
  <si>
    <t xml:space="preserve">                   + Tôm thẻ CT</t>
  </si>
  <si>
    <t xml:space="preserve"> - Tỷ lệ diện tích nuôi bị thiệt hại</t>
  </si>
</sst>
</file>

<file path=xl/styles.xml><?xml version="1.0" encoding="utf-8"?>
<styleSheet xmlns="http://schemas.openxmlformats.org/spreadsheetml/2006/main">
  <numFmts count="5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_);_(* \(#,##0\);_(* &quot;-&quot;??_);_(@_)"/>
    <numFmt numFmtId="182" formatCode="_(* #,##0.0_);_(* \(#,##0.0\);_(* &quot;-&quot;??_);_(@_)"/>
    <numFmt numFmtId="183" formatCode="_(* #,##0.000_);_(* \(#,##0.000\);_(* &quot;-&quot;??_);_(@_)"/>
    <numFmt numFmtId="184" formatCode="#,##0.0"/>
    <numFmt numFmtId="185" formatCode="_(* #,##0.0_);_(* \(#,##0.0\);_(* &quot;-&quot;?_);_(@_)"/>
    <numFmt numFmtId="186" formatCode="_(* #,##0.00_);_(* \(#,##0.00\);_(* \-??_);_(@_)"/>
    <numFmt numFmtId="187" formatCode="_(* #,##0_);_(* \(#,##0\);_(* \-??_);_(@_)"/>
    <numFmt numFmtId="188" formatCode="0.0%"/>
    <numFmt numFmtId="189" formatCode="_(* #,##0.0_);_(* \(#,##0.0\);_(* \-??_);_(@_)"/>
    <numFmt numFmtId="190" formatCode="0.00000"/>
    <numFmt numFmtId="191" formatCode="0.0000"/>
    <numFmt numFmtId="192" formatCode="0.000"/>
    <numFmt numFmtId="193" formatCode="_(* #,##0.0000_);_(* \(#,##0.0000\);_(* &quot;-&quot;??_);_(@_)"/>
    <numFmt numFmtId="194" formatCode="_-* #,##0.00_-;\-* #,##0.00_-;_-* &quot;-&quot;??_-;_-@_-"/>
    <numFmt numFmtId="195" formatCode="_-* #,##0.0_-;\-* #,##0.0_-;_-* &quot;-&quot;??_-;_-@_-"/>
    <numFmt numFmtId="196" formatCode="_-* #,##0_-;\-* #,##0_-;_-* &quot;-&quot;??_-;_-@_-"/>
    <numFmt numFmtId="197" formatCode="_-* #,##0.0\ _₫_-;\-* #,##0.0\ _₫_-;_-* &quot;-&quot;??\ _₫_-;_-@_-"/>
    <numFmt numFmtId="198" formatCode="_-* #,##0\ _₫_-;\-* #,##0\ _₫_-;_-* &quot;-&quot;??\ _₫_-;_-@_-"/>
    <numFmt numFmtId="199" formatCode="###\ ###\ ###\ ###"/>
    <numFmt numFmtId="200" formatCode="_-* #,##0.0\ _₫_-;\-* #,##0.0\ _₫_-;_-* &quot;-&quot;?\ _₫_-;_-@_-"/>
    <numFmt numFmtId="201" formatCode="0.000000"/>
    <numFmt numFmtId="202" formatCode="_-* #,##0.000\ _₫_-;\-* #,##0.000\ _₫_-;_-* &quot;-&quot;??\ _₫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000"/>
    <numFmt numFmtId="208" formatCode="#,##0.000"/>
    <numFmt numFmtId="209" formatCode="#,##0.00\ _$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sz val="13"/>
      <name val="VNI-Times"/>
      <family val="0"/>
    </font>
    <font>
      <sz val="10"/>
      <name val=".VnTime"/>
      <family val="2"/>
    </font>
    <font>
      <sz val="12"/>
      <name val=".VnTime"/>
      <family val="2"/>
    </font>
    <font>
      <sz val="14"/>
      <name val="VNI-Times"/>
      <family val="0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13" fillId="17" borderId="0" applyNumberFormat="0" applyBorder="0" applyAlignment="0" applyProtection="0"/>
    <xf numFmtId="0" fontId="38" fillId="27" borderId="0" applyNumberFormat="0" applyBorder="0" applyAlignment="0" applyProtection="0"/>
    <xf numFmtId="0" fontId="13" fillId="19" borderId="0" applyNumberFormat="0" applyBorder="0" applyAlignment="0" applyProtection="0"/>
    <xf numFmtId="0" fontId="38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13" fillId="31" borderId="0" applyNumberFormat="0" applyBorder="0" applyAlignment="0" applyProtection="0"/>
    <xf numFmtId="0" fontId="38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4" borderId="0" applyNumberFormat="0" applyBorder="0" applyAlignment="0" applyProtection="0"/>
    <xf numFmtId="0" fontId="13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37" borderId="0" applyNumberFormat="0" applyBorder="0" applyAlignment="0" applyProtection="0"/>
    <xf numFmtId="0" fontId="38" fillId="38" borderId="0" applyNumberFormat="0" applyBorder="0" applyAlignment="0" applyProtection="0"/>
    <xf numFmtId="0" fontId="13" fillId="39" borderId="0" applyNumberFormat="0" applyBorder="0" applyAlignment="0" applyProtection="0"/>
    <xf numFmtId="0" fontId="38" fillId="40" borderId="0" applyNumberFormat="0" applyBorder="0" applyAlignment="0" applyProtection="0"/>
    <xf numFmtId="0" fontId="13" fillId="29" borderId="0" applyNumberFormat="0" applyBorder="0" applyAlignment="0" applyProtection="0"/>
    <xf numFmtId="0" fontId="38" fillId="41" borderId="0" applyNumberFormat="0" applyBorder="0" applyAlignment="0" applyProtection="0"/>
    <xf numFmtId="0" fontId="13" fillId="31" borderId="0" applyNumberFormat="0" applyBorder="0" applyAlignment="0" applyProtection="0"/>
    <xf numFmtId="0" fontId="38" fillId="42" borderId="0" applyNumberFormat="0" applyBorder="0" applyAlignment="0" applyProtection="0"/>
    <xf numFmtId="0" fontId="13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5" borderId="0" applyNumberFormat="0" applyBorder="0" applyAlignment="0" applyProtection="0"/>
    <xf numFmtId="0" fontId="40" fillId="45" borderId="1" applyNumberFormat="0" applyAlignment="0" applyProtection="0"/>
    <xf numFmtId="0" fontId="15" fillId="46" borderId="2" applyNumberFormat="0" applyAlignment="0" applyProtection="0"/>
    <xf numFmtId="0" fontId="41" fillId="47" borderId="3" applyNumberFormat="0" applyAlignment="0" applyProtection="0"/>
    <xf numFmtId="0" fontId="16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8" fillId="7" borderId="0" applyNumberFormat="0" applyBorder="0" applyAlignment="0" applyProtection="0"/>
    <xf numFmtId="0" fontId="45" fillId="0" borderId="5" applyNumberFormat="0" applyFill="0" applyAlignment="0" applyProtection="0"/>
    <xf numFmtId="0" fontId="19" fillId="0" borderId="6" applyNumberFormat="0" applyFill="0" applyAlignment="0" applyProtection="0"/>
    <xf numFmtId="0" fontId="46" fillId="0" borderId="7" applyNumberFormat="0" applyFill="0" applyAlignment="0" applyProtection="0"/>
    <xf numFmtId="0" fontId="20" fillId="0" borderId="8" applyNumberFormat="0" applyFill="0" applyAlignment="0" applyProtection="0"/>
    <xf numFmtId="0" fontId="47" fillId="0" borderId="9" applyNumberFormat="0" applyFill="0" applyAlignment="0" applyProtection="0"/>
    <xf numFmtId="0" fontId="2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1" applyNumberFormat="0" applyAlignment="0" applyProtection="0"/>
    <xf numFmtId="0" fontId="22" fillId="13" borderId="2" applyNumberFormat="0" applyAlignment="0" applyProtection="0"/>
    <xf numFmtId="0" fontId="50" fillId="0" borderId="11" applyNumberFormat="0" applyFill="0" applyAlignment="0" applyProtection="0"/>
    <xf numFmtId="0" fontId="23" fillId="0" borderId="12" applyNumberFormat="0" applyFill="0" applyAlignment="0" applyProtection="0"/>
    <xf numFmtId="0" fontId="51" fillId="51" borderId="0" applyNumberFormat="0" applyBorder="0" applyAlignment="0" applyProtection="0"/>
    <xf numFmtId="0" fontId="24" fillId="52" borderId="0" applyNumberFormat="0" applyBorder="0" applyAlignment="0" applyProtection="0"/>
    <xf numFmtId="0" fontId="6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53" borderId="13" applyNumberFormat="0" applyFont="0" applyAlignment="0" applyProtection="0"/>
    <xf numFmtId="0" fontId="8" fillId="54" borderId="14" applyNumberFormat="0" applyFont="0" applyAlignment="0" applyProtection="0"/>
    <xf numFmtId="0" fontId="53" fillId="45" borderId="15" applyNumberFormat="0" applyAlignment="0" applyProtection="0"/>
    <xf numFmtId="0" fontId="25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7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9" fontId="36" fillId="0" borderId="0" xfId="128" applyFont="1" applyAlignment="1">
      <alignment/>
    </xf>
    <xf numFmtId="4" fontId="4" fillId="0" borderId="0" xfId="123" applyNumberFormat="1" applyFont="1" applyBorder="1" applyAlignment="1">
      <alignment/>
      <protection/>
    </xf>
    <xf numFmtId="179" fontId="36" fillId="0" borderId="0" xfId="0" applyNumberFormat="1" applyFont="1" applyBorder="1" applyAlignment="1">
      <alignment/>
    </xf>
    <xf numFmtId="196" fontId="36" fillId="0" borderId="0" xfId="0" applyNumberFormat="1" applyFont="1" applyBorder="1" applyAlignment="1">
      <alignment/>
    </xf>
    <xf numFmtId="182" fontId="36" fillId="0" borderId="0" xfId="0" applyNumberFormat="1" applyFont="1" applyBorder="1" applyAlignment="1">
      <alignment/>
    </xf>
    <xf numFmtId="4" fontId="4" fillId="0" borderId="0" xfId="123" applyNumberFormat="1" applyFont="1" applyBorder="1">
      <alignment/>
      <protection/>
    </xf>
    <xf numFmtId="4" fontId="5" fillId="0" borderId="0" xfId="123" applyNumberFormat="1" applyFont="1" applyBorder="1">
      <alignment/>
      <protection/>
    </xf>
    <xf numFmtId="4" fontId="5" fillId="0" borderId="0" xfId="123" applyNumberFormat="1" applyFont="1" applyBorder="1" applyAlignment="1">
      <alignment/>
      <protection/>
    </xf>
    <xf numFmtId="179" fontId="36" fillId="0" borderId="0" xfId="69" applyFont="1" applyBorder="1" applyAlignment="1">
      <alignment/>
    </xf>
    <xf numFmtId="181" fontId="36" fillId="0" borderId="0" xfId="69" applyNumberFormat="1" applyFont="1" applyBorder="1" applyAlignment="1">
      <alignment/>
    </xf>
    <xf numFmtId="0" fontId="3" fillId="0" borderId="19" xfId="0" applyFont="1" applyBorder="1" applyAlignment="1">
      <alignment/>
    </xf>
    <xf numFmtId="181" fontId="3" fillId="0" borderId="19" xfId="0" applyNumberFormat="1" applyFont="1" applyBorder="1" applyAlignment="1">
      <alignment/>
    </xf>
    <xf numFmtId="181" fontId="4" fillId="0" borderId="20" xfId="0" applyNumberFormat="1" applyFont="1" applyFill="1" applyBorder="1" applyAlignment="1">
      <alignment/>
    </xf>
    <xf numFmtId="182" fontId="36" fillId="0" borderId="0" xfId="0" applyNumberFormat="1" applyFont="1" applyAlignment="1">
      <alignment/>
    </xf>
    <xf numFmtId="181" fontId="12" fillId="0" borderId="20" xfId="0" applyNumberFormat="1" applyFont="1" applyFill="1" applyBorder="1" applyAlignment="1">
      <alignment/>
    </xf>
    <xf numFmtId="181" fontId="4" fillId="0" borderId="20" xfId="69" applyNumberFormat="1" applyFont="1" applyFill="1" applyBorder="1" applyAlignment="1" applyProtection="1" quotePrefix="1">
      <alignment vertical="center"/>
      <protection locked="0"/>
    </xf>
    <xf numFmtId="181" fontId="4" fillId="0" borderId="20" xfId="69" applyNumberFormat="1" applyFont="1" applyFill="1" applyBorder="1" applyAlignment="1" applyProtection="1">
      <alignment vertical="center"/>
      <protection locked="0"/>
    </xf>
    <xf numFmtId="182" fontId="4" fillId="0" borderId="20" xfId="69" applyNumberFormat="1" applyFont="1" applyFill="1" applyBorder="1" applyAlignment="1" applyProtection="1">
      <alignment vertical="center"/>
      <protection locked="0"/>
    </xf>
    <xf numFmtId="193" fontId="36" fillId="0" borderId="0" xfId="0" applyNumberFormat="1" applyFont="1" applyBorder="1" applyAlignment="1">
      <alignment/>
    </xf>
    <xf numFmtId="179" fontId="36" fillId="0" borderId="0" xfId="69" applyFont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36" fillId="0" borderId="0" xfId="0" applyFont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98" fontId="57" fillId="0" borderId="19" xfId="0" applyNumberFormat="1" applyFont="1" applyBorder="1" applyAlignment="1">
      <alignment/>
    </xf>
    <xf numFmtId="181" fontId="36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181" fontId="36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0" fontId="36" fillId="0" borderId="0" xfId="0" applyFont="1" applyFill="1" applyAlignment="1">
      <alignment/>
    </xf>
    <xf numFmtId="171" fontId="36" fillId="0" borderId="0" xfId="0" applyNumberFormat="1" applyFont="1" applyAlignment="1">
      <alignment/>
    </xf>
    <xf numFmtId="180" fontId="36" fillId="0" borderId="0" xfId="0" applyNumberFormat="1" applyFont="1" applyAlignment="1">
      <alignment/>
    </xf>
    <xf numFmtId="183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10" fontId="5" fillId="0" borderId="20" xfId="128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18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179" fontId="5" fillId="0" borderId="20" xfId="69" applyFont="1" applyBorder="1" applyAlignment="1">
      <alignment horizontal="center"/>
    </xf>
    <xf numFmtId="181" fontId="5" fillId="0" borderId="20" xfId="69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 quotePrefix="1">
      <alignment horizontal="center" vertical="center" wrapText="1"/>
    </xf>
    <xf numFmtId="180" fontId="5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80" fontId="5" fillId="0" borderId="20" xfId="0" applyNumberFormat="1" applyFont="1" applyBorder="1" applyAlignment="1" quotePrefix="1">
      <alignment horizontal="center" vertical="center"/>
    </xf>
    <xf numFmtId="0" fontId="5" fillId="0" borderId="20" xfId="0" applyFont="1" applyBorder="1" applyAlignment="1">
      <alignment vertical="center" wrapText="1"/>
    </xf>
    <xf numFmtId="180" fontId="5" fillId="0" borderId="20" xfId="0" applyNumberFormat="1" applyFont="1" applyBorder="1" applyAlignment="1">
      <alignment horizontal="center"/>
    </xf>
    <xf numFmtId="0" fontId="4" fillId="0" borderId="20" xfId="0" applyFont="1" applyBorder="1" applyAlignment="1" quotePrefix="1">
      <alignment horizontal="center"/>
    </xf>
    <xf numFmtId="0" fontId="5" fillId="0" borderId="20" xfId="0" applyFont="1" applyBorder="1" applyAlignment="1">
      <alignment horizontal="center" vertical="center"/>
    </xf>
    <xf numFmtId="179" fontId="5" fillId="0" borderId="20" xfId="69" applyFont="1" applyBorder="1" applyAlignment="1">
      <alignment horizontal="right"/>
    </xf>
    <xf numFmtId="179" fontId="4" fillId="0" borderId="20" xfId="69" applyFont="1" applyBorder="1" applyAlignment="1">
      <alignment horizontal="right"/>
    </xf>
    <xf numFmtId="0" fontId="4" fillId="0" borderId="20" xfId="0" applyFont="1" applyBorder="1" applyAlignment="1" quotePrefix="1">
      <alignment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1" fontId="5" fillId="0" borderId="20" xfId="0" applyNumberFormat="1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79" fontId="5" fillId="0" borderId="20" xfId="69" applyFont="1" applyBorder="1" applyAlignment="1">
      <alignment horizontal="left"/>
    </xf>
    <xf numFmtId="179" fontId="4" fillId="0" borderId="20" xfId="69" applyFont="1" applyBorder="1" applyAlignment="1">
      <alignment horizontal="center"/>
    </xf>
    <xf numFmtId="181" fontId="4" fillId="0" borderId="20" xfId="69" applyNumberFormat="1" applyFont="1" applyFill="1" applyBorder="1" applyAlignment="1">
      <alignment/>
    </xf>
    <xf numFmtId="181" fontId="5" fillId="0" borderId="20" xfId="69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/>
    </xf>
    <xf numFmtId="179" fontId="4" fillId="0" borderId="20" xfId="69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/>
    </xf>
    <xf numFmtId="181" fontId="4" fillId="0" borderId="20" xfId="69" applyNumberFormat="1" applyFont="1" applyFill="1" applyBorder="1" applyAlignment="1">
      <alignment horizontal="right" vertical="center"/>
    </xf>
    <xf numFmtId="179" fontId="4" fillId="0" borderId="20" xfId="69" applyFont="1" applyFill="1" applyBorder="1" applyAlignment="1">
      <alignment/>
    </xf>
    <xf numFmtId="0" fontId="4" fillId="0" borderId="20" xfId="0" applyFont="1" applyBorder="1" applyAlignment="1">
      <alignment/>
    </xf>
    <xf numFmtId="179" fontId="5" fillId="0" borderId="20" xfId="69" applyFont="1" applyBorder="1" applyAlignment="1">
      <alignment horizontal="center" vertical="center" wrapText="1"/>
    </xf>
    <xf numFmtId="179" fontId="5" fillId="0" borderId="20" xfId="69" applyNumberFormat="1" applyFont="1" applyFill="1" applyBorder="1" applyAlignment="1">
      <alignment horizontal="center"/>
    </xf>
    <xf numFmtId="181" fontId="4" fillId="0" borderId="20" xfId="69" applyNumberFormat="1" applyFont="1" applyFill="1" applyBorder="1" applyAlignment="1">
      <alignment horizontal="right" vertical="top" wrapText="1"/>
    </xf>
    <xf numFmtId="181" fontId="5" fillId="0" borderId="20" xfId="69" applyNumberFormat="1" applyFont="1" applyFill="1" applyBorder="1" applyAlignment="1">
      <alignment/>
    </xf>
    <xf numFmtId="181" fontId="4" fillId="0" borderId="20" xfId="69" applyNumberFormat="1" applyFont="1" applyFill="1" applyBorder="1" applyAlignment="1">
      <alignment vertical="center"/>
    </xf>
    <xf numFmtId="180" fontId="5" fillId="0" borderId="20" xfId="0" applyNumberFormat="1" applyFont="1" applyBorder="1" applyAlignment="1" quotePrefix="1">
      <alignment horizontal="center"/>
    </xf>
    <xf numFmtId="0" fontId="36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5" fillId="0" borderId="20" xfId="122" applyFont="1" applyFill="1" applyBorder="1" applyAlignment="1" applyProtection="1">
      <alignment horizontal="center" vertical="center"/>
      <protection locked="0"/>
    </xf>
    <xf numFmtId="0" fontId="4" fillId="0" borderId="20" xfId="122" applyFont="1" applyFill="1" applyBorder="1" applyAlignment="1" applyProtection="1">
      <alignment vertical="center"/>
      <protection locked="0"/>
    </xf>
    <xf numFmtId="0" fontId="4" fillId="0" borderId="20" xfId="122" applyFont="1" applyFill="1" applyBorder="1" applyAlignment="1" applyProtection="1">
      <alignment horizontal="center" vertical="center"/>
      <protection locked="0"/>
    </xf>
    <xf numFmtId="180" fontId="5" fillId="0" borderId="20" xfId="0" applyNumberFormat="1" applyFont="1" applyFill="1" applyBorder="1" applyAlignment="1">
      <alignment horizontal="center"/>
    </xf>
    <xf numFmtId="0" fontId="4" fillId="0" borderId="20" xfId="0" applyFont="1" applyBorder="1" applyAlignment="1" quotePrefix="1">
      <alignment/>
    </xf>
    <xf numFmtId="0" fontId="36" fillId="0" borderId="20" xfId="0" applyFont="1" applyFill="1" applyBorder="1" applyAlignment="1">
      <alignment/>
    </xf>
    <xf numFmtId="181" fontId="4" fillId="0" borderId="20" xfId="0" applyNumberFormat="1" applyFont="1" applyFill="1" applyBorder="1" applyAlignment="1">
      <alignment vertical="center"/>
    </xf>
    <xf numFmtId="193" fontId="5" fillId="0" borderId="20" xfId="69" applyNumberFormat="1" applyFont="1" applyFill="1" applyBorder="1" applyAlignment="1">
      <alignment horizontal="center"/>
    </xf>
    <xf numFmtId="179" fontId="5" fillId="0" borderId="20" xfId="69" applyFont="1" applyBorder="1" applyAlignment="1">
      <alignment horizontal="center" vertical="center"/>
    </xf>
    <xf numFmtId="0" fontId="5" fillId="0" borderId="20" xfId="121" applyFont="1" applyFill="1" applyBorder="1" applyAlignment="1">
      <alignment horizontal="left" vertical="center" wrapText="1"/>
      <protection/>
    </xf>
    <xf numFmtId="0" fontId="5" fillId="0" borderId="20" xfId="0" applyFont="1" applyFill="1" applyBorder="1" applyAlignment="1">
      <alignment horizontal="left"/>
    </xf>
    <xf numFmtId="10" fontId="5" fillId="0" borderId="20" xfId="128" applyNumberFormat="1" applyFont="1" applyBorder="1" applyAlignment="1">
      <alignment vertical="center"/>
    </xf>
    <xf numFmtId="179" fontId="3" fillId="0" borderId="0" xfId="0" applyNumberFormat="1" applyFont="1" applyBorder="1" applyAlignment="1">
      <alignment/>
    </xf>
    <xf numFmtId="179" fontId="4" fillId="0" borderId="20" xfId="69" applyNumberFormat="1" applyFont="1" applyFill="1" applyBorder="1" applyAlignment="1">
      <alignment horizontal="right" vertical="center"/>
    </xf>
    <xf numFmtId="179" fontId="3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5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81" fontId="5" fillId="0" borderId="21" xfId="69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9" fontId="5" fillId="0" borderId="0" xfId="69" applyFont="1" applyBorder="1" applyAlignment="1">
      <alignment horizontal="right"/>
    </xf>
    <xf numFmtId="179" fontId="4" fillId="0" borderId="0" xfId="69" applyFont="1" applyBorder="1" applyAlignment="1">
      <alignment horizontal="right"/>
    </xf>
    <xf numFmtId="10" fontId="5" fillId="0" borderId="0" xfId="128" applyNumberFormat="1" applyFont="1" applyBorder="1" applyAlignment="1">
      <alignment horizontal="right"/>
    </xf>
    <xf numFmtId="179" fontId="4" fillId="0" borderId="0" xfId="69" applyFont="1" applyBorder="1" applyAlignment="1">
      <alignment horizontal="right" vertical="center"/>
    </xf>
    <xf numFmtId="10" fontId="5" fillId="0" borderId="0" xfId="128" applyNumberFormat="1" applyFont="1" applyBorder="1" applyAlignment="1">
      <alignment vertical="center"/>
    </xf>
    <xf numFmtId="200" fontId="36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3" fillId="0" borderId="19" xfId="0" applyFont="1" applyFill="1" applyBorder="1" applyAlignment="1">
      <alignment/>
    </xf>
    <xf numFmtId="179" fontId="5" fillId="0" borderId="20" xfId="69" applyFont="1" applyFill="1" applyBorder="1" applyAlignment="1">
      <alignment horizontal="right" vertical="center" wrapText="1"/>
    </xf>
    <xf numFmtId="3" fontId="4" fillId="0" borderId="20" xfId="83" applyNumberFormat="1" applyFont="1" applyFill="1" applyBorder="1" applyAlignment="1" applyProtection="1">
      <alignment horizontal="right" vertical="center"/>
      <protection locked="0"/>
    </xf>
    <xf numFmtId="181" fontId="4" fillId="0" borderId="20" xfId="79" applyNumberFormat="1" applyFont="1" applyFill="1" applyBorder="1" applyAlignment="1">
      <alignment horizontal="right" vertical="center"/>
    </xf>
    <xf numFmtId="179" fontId="4" fillId="0" borderId="20" xfId="69" applyFont="1" applyFill="1" applyBorder="1" applyAlignment="1">
      <alignment horizontal="right" vertical="center"/>
    </xf>
    <xf numFmtId="181" fontId="12" fillId="0" borderId="20" xfId="69" applyNumberFormat="1" applyFont="1" applyFill="1" applyBorder="1" applyAlignment="1">
      <alignment/>
    </xf>
    <xf numFmtId="179" fontId="4" fillId="0" borderId="20" xfId="69" applyFont="1" applyFill="1" applyBorder="1" applyAlignment="1">
      <alignment horizontal="right"/>
    </xf>
    <xf numFmtId="182" fontId="4" fillId="0" borderId="20" xfId="76" applyNumberFormat="1" applyFont="1" applyFill="1" applyBorder="1" applyAlignment="1">
      <alignment horizontal="right" vertical="center"/>
    </xf>
    <xf numFmtId="181" fontId="4" fillId="0" borderId="20" xfId="76" applyNumberFormat="1" applyFont="1" applyFill="1" applyBorder="1" applyAlignment="1">
      <alignment horizontal="right" vertical="center"/>
    </xf>
    <xf numFmtId="181" fontId="4" fillId="0" borderId="20" xfId="85" applyNumberFormat="1" applyFont="1" applyFill="1" applyBorder="1" applyAlignment="1">
      <alignment horizontal="right" vertical="center"/>
    </xf>
    <xf numFmtId="3" fontId="4" fillId="0" borderId="20" xfId="69" applyNumberFormat="1" applyFont="1" applyFill="1" applyBorder="1" applyAlignment="1">
      <alignment horizontal="right" vertical="top" wrapText="1"/>
    </xf>
    <xf numFmtId="3" fontId="4" fillId="0" borderId="20" xfId="69" applyNumberFormat="1" applyFont="1" applyFill="1" applyBorder="1" applyAlignment="1">
      <alignment/>
    </xf>
    <xf numFmtId="4" fontId="4" fillId="0" borderId="20" xfId="83" applyNumberFormat="1" applyFont="1" applyFill="1" applyBorder="1" applyAlignment="1" applyProtection="1">
      <alignment horizontal="right" vertical="center"/>
      <protection locked="0"/>
    </xf>
    <xf numFmtId="182" fontId="4" fillId="0" borderId="20" xfId="85" applyNumberFormat="1" applyFont="1" applyFill="1" applyBorder="1" applyAlignment="1">
      <alignment horizontal="right" vertical="center"/>
    </xf>
    <xf numFmtId="179" fontId="4" fillId="0" borderId="20" xfId="76" applyNumberFormat="1" applyFont="1" applyFill="1" applyBorder="1" applyAlignment="1">
      <alignment horizontal="right" vertical="center"/>
    </xf>
    <xf numFmtId="181" fontId="4" fillId="0" borderId="20" xfId="76" applyNumberFormat="1" applyFont="1" applyFill="1" applyBorder="1" applyAlignment="1">
      <alignment/>
    </xf>
    <xf numFmtId="179" fontId="5" fillId="0" borderId="20" xfId="69" applyNumberFormat="1" applyFont="1" applyFill="1" applyBorder="1" applyAlignment="1">
      <alignment horizontal="right" vertical="center"/>
    </xf>
    <xf numFmtId="181" fontId="5" fillId="0" borderId="20" xfId="85" applyNumberFormat="1" applyFont="1" applyFill="1" applyBorder="1" applyAlignment="1">
      <alignment horizontal="right" vertical="center"/>
    </xf>
    <xf numFmtId="181" fontId="5" fillId="0" borderId="20" xfId="85" applyNumberFormat="1" applyFont="1" applyFill="1" applyBorder="1" applyAlignment="1">
      <alignment vertical="center"/>
    </xf>
    <xf numFmtId="179" fontId="4" fillId="0" borderId="20" xfId="123" applyNumberFormat="1" applyFont="1" applyBorder="1" applyAlignment="1">
      <alignment horizontal="right"/>
      <protection/>
    </xf>
    <xf numFmtId="181" fontId="4" fillId="0" borderId="20" xfId="79" applyNumberFormat="1" applyFont="1" applyFill="1" applyBorder="1" applyAlignment="1">
      <alignment horizontal="right"/>
    </xf>
    <xf numFmtId="179" fontId="4" fillId="0" borderId="20" xfId="69" applyNumberFormat="1" applyFont="1" applyFill="1" applyBorder="1" applyAlignment="1">
      <alignment horizontal="right"/>
    </xf>
    <xf numFmtId="179" fontId="4" fillId="0" borderId="20" xfId="123" applyNumberFormat="1" applyFont="1" applyFill="1" applyBorder="1" applyAlignment="1">
      <alignment horizontal="right"/>
      <protection/>
    </xf>
    <xf numFmtId="179" fontId="4" fillId="0" borderId="20" xfId="79" applyNumberFormat="1" applyFont="1" applyBorder="1" applyAlignment="1">
      <alignment/>
    </xf>
    <xf numFmtId="179" fontId="4" fillId="0" borderId="20" xfId="69" applyNumberFormat="1" applyFont="1" applyFill="1" applyBorder="1" applyAlignment="1">
      <alignment/>
    </xf>
    <xf numFmtId="179" fontId="4" fillId="0" borderId="20" xfId="79" applyFont="1" applyFill="1" applyBorder="1" applyAlignment="1">
      <alignment horizontal="right"/>
    </xf>
    <xf numFmtId="181" fontId="4" fillId="0" borderId="20" xfId="79" applyNumberFormat="1" applyFont="1" applyBorder="1" applyAlignment="1">
      <alignment/>
    </xf>
    <xf numFmtId="181" fontId="4" fillId="55" borderId="20" xfId="118" applyNumberFormat="1" applyFont="1" applyFill="1" applyBorder="1" applyAlignment="1">
      <alignment vertical="center" wrapText="1"/>
      <protection/>
    </xf>
    <xf numFmtId="179" fontId="4" fillId="0" borderId="20" xfId="79" applyFont="1" applyBorder="1" applyAlignment="1">
      <alignment horizontal="right"/>
    </xf>
    <xf numFmtId="179" fontId="4" fillId="55" borderId="20" xfId="118" applyNumberFormat="1" applyFont="1" applyFill="1" applyBorder="1" applyAlignment="1">
      <alignment vertical="center" wrapText="1"/>
      <protection/>
    </xf>
    <xf numFmtId="179" fontId="4" fillId="0" borderId="20" xfId="0" applyNumberFormat="1" applyFont="1" applyFill="1" applyBorder="1" applyAlignment="1">
      <alignment horizontal="right" vertical="center" wrapText="1"/>
    </xf>
    <xf numFmtId="182" fontId="4" fillId="0" borderId="20" xfId="69" applyNumberFormat="1" applyFont="1" applyFill="1" applyBorder="1" applyAlignment="1">
      <alignment/>
    </xf>
    <xf numFmtId="181" fontId="4" fillId="0" borderId="20" xfId="79" applyNumberFormat="1" applyFont="1" applyFill="1" applyBorder="1" applyAlignment="1">
      <alignment vertical="center"/>
    </xf>
    <xf numFmtId="179" fontId="4" fillId="0" borderId="20" xfId="76" applyNumberFormat="1" applyFont="1" applyBorder="1" applyAlignment="1">
      <alignment vertical="center" wrapText="1"/>
    </xf>
    <xf numFmtId="181" fontId="4" fillId="0" borderId="20" xfId="79" applyNumberFormat="1" applyFont="1" applyFill="1" applyBorder="1" applyAlignment="1">
      <alignment vertical="center" wrapText="1"/>
    </xf>
    <xf numFmtId="181" fontId="4" fillId="0" borderId="20" xfId="69" applyNumberFormat="1" applyFont="1" applyFill="1" applyBorder="1" applyAlignment="1">
      <alignment vertical="center" wrapText="1"/>
    </xf>
    <xf numFmtId="179" fontId="4" fillId="0" borderId="20" xfId="0" applyNumberFormat="1" applyFont="1" applyBorder="1" applyAlignment="1">
      <alignment vertical="top" wrapText="1"/>
    </xf>
    <xf numFmtId="181" fontId="4" fillId="0" borderId="20" xfId="76" applyNumberFormat="1" applyFont="1" applyBorder="1" applyAlignment="1">
      <alignment vertical="center" wrapText="1"/>
    </xf>
    <xf numFmtId="181" fontId="5" fillId="0" borderId="20" xfId="76" applyNumberFormat="1" applyFont="1" applyBorder="1" applyAlignment="1">
      <alignment vertical="center"/>
    </xf>
    <xf numFmtId="181" fontId="5" fillId="0" borderId="20" xfId="69" applyNumberFormat="1" applyFont="1" applyFill="1" applyBorder="1" applyAlignment="1">
      <alignment vertical="center"/>
    </xf>
    <xf numFmtId="179" fontId="4" fillId="0" borderId="20" xfId="76" applyNumberFormat="1" applyFont="1" applyBorder="1" applyAlignment="1">
      <alignment horizontal="right" vertical="center"/>
    </xf>
    <xf numFmtId="179" fontId="5" fillId="0" borderId="20" xfId="123" applyNumberFormat="1" applyFont="1" applyBorder="1" applyAlignment="1">
      <alignment horizontal="right"/>
      <protection/>
    </xf>
    <xf numFmtId="182" fontId="4" fillId="0" borderId="20" xfId="69" applyNumberFormat="1" applyFont="1" applyFill="1" applyBorder="1" applyAlignment="1">
      <alignment horizontal="right" vertical="center"/>
    </xf>
    <xf numFmtId="179" fontId="4" fillId="55" borderId="20" xfId="0" applyNumberFormat="1" applyFont="1" applyFill="1" applyBorder="1" applyAlignment="1">
      <alignment vertical="center" wrapText="1"/>
    </xf>
    <xf numFmtId="179" fontId="4" fillId="0" borderId="20" xfId="79" applyNumberFormat="1" applyFont="1" applyBorder="1" applyAlignment="1">
      <alignment horizontal="right" vertical="center"/>
    </xf>
    <xf numFmtId="179" fontId="4" fillId="0" borderId="20" xfId="79" applyNumberFormat="1" applyFont="1" applyFill="1" applyBorder="1" applyAlignment="1">
      <alignment horizontal="right" vertical="center"/>
    </xf>
    <xf numFmtId="0" fontId="4" fillId="0" borderId="20" xfId="69" applyNumberFormat="1" applyFont="1" applyFill="1" applyBorder="1" applyAlignment="1">
      <alignment horizontal="right" vertical="center"/>
    </xf>
    <xf numFmtId="2" fontId="4" fillId="0" borderId="20" xfId="69" applyNumberFormat="1" applyFont="1" applyFill="1" applyBorder="1" applyAlignment="1">
      <alignment horizontal="right" vertical="center"/>
    </xf>
    <xf numFmtId="181" fontId="4" fillId="55" borderId="20" xfId="0" applyNumberFormat="1" applyFont="1" applyFill="1" applyBorder="1" applyAlignment="1">
      <alignment vertical="center" wrapText="1"/>
    </xf>
    <xf numFmtId="194" fontId="4" fillId="0" borderId="20" xfId="0" applyNumberFormat="1" applyFont="1" applyFill="1" applyBorder="1" applyAlignment="1">
      <alignment horizontal="right" vertical="center" wrapText="1"/>
    </xf>
    <xf numFmtId="181" fontId="4" fillId="0" borderId="20" xfId="0" applyNumberFormat="1" applyFont="1" applyBorder="1" applyAlignment="1">
      <alignment/>
    </xf>
    <xf numFmtId="179" fontId="32" fillId="0" borderId="20" xfId="0" applyNumberFormat="1" applyFont="1" applyFill="1" applyBorder="1" applyAlignment="1">
      <alignment horizontal="center"/>
    </xf>
    <xf numFmtId="182" fontId="4" fillId="0" borderId="20" xfId="69" applyNumberFormat="1" applyFont="1" applyFill="1" applyBorder="1" applyAlignment="1">
      <alignment horizontal="right"/>
    </xf>
    <xf numFmtId="179" fontId="4" fillId="0" borderId="20" xfId="79" applyNumberFormat="1" applyFont="1" applyBorder="1" applyAlignment="1">
      <alignment horizontal="right"/>
    </xf>
    <xf numFmtId="179" fontId="4" fillId="0" borderId="20" xfId="79" applyNumberFormat="1" applyFont="1" applyFill="1" applyBorder="1" applyAlignment="1">
      <alignment horizontal="right"/>
    </xf>
    <xf numFmtId="181" fontId="32" fillId="0" borderId="20" xfId="79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181" fontId="5" fillId="0" borderId="20" xfId="0" applyNumberFormat="1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180" fontId="5" fillId="0" borderId="23" xfId="0" applyNumberFormat="1" applyFont="1" applyBorder="1" applyAlignment="1" quotePrefix="1">
      <alignment horizontal="center"/>
    </xf>
    <xf numFmtId="181" fontId="4" fillId="0" borderId="20" xfId="69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181" fontId="4" fillId="0" borderId="23" xfId="69" applyNumberFormat="1" applyFont="1" applyBorder="1" applyAlignment="1">
      <alignment/>
    </xf>
    <xf numFmtId="181" fontId="4" fillId="0" borderId="23" xfId="0" applyNumberFormat="1" applyFont="1" applyBorder="1" applyAlignment="1">
      <alignment/>
    </xf>
    <xf numFmtId="180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4" fillId="0" borderId="24" xfId="0" applyFont="1" applyBorder="1" applyAlignment="1">
      <alignment horizontal="center"/>
    </xf>
    <xf numFmtId="181" fontId="5" fillId="0" borderId="23" xfId="69" applyNumberFormat="1" applyFont="1" applyBorder="1" applyAlignment="1">
      <alignment/>
    </xf>
    <xf numFmtId="0" fontId="4" fillId="0" borderId="22" xfId="0" applyFont="1" applyBorder="1" applyAlignment="1">
      <alignment wrapText="1"/>
    </xf>
    <xf numFmtId="0" fontId="5" fillId="0" borderId="25" xfId="0" applyFont="1" applyBorder="1" applyAlignment="1">
      <alignment/>
    </xf>
    <xf numFmtId="180" fontId="5" fillId="0" borderId="26" xfId="0" applyNumberFormat="1" applyFont="1" applyBorder="1" applyAlignment="1">
      <alignment/>
    </xf>
    <xf numFmtId="181" fontId="5" fillId="0" borderId="22" xfId="0" applyNumberFormat="1" applyFont="1" applyBorder="1" applyAlignment="1">
      <alignment/>
    </xf>
    <xf numFmtId="0" fontId="5" fillId="0" borderId="22" xfId="0" applyFont="1" applyFill="1" applyBorder="1" applyAlignment="1">
      <alignment/>
    </xf>
    <xf numFmtId="181" fontId="5" fillId="0" borderId="20" xfId="69" applyNumberFormat="1" applyFont="1" applyBorder="1" applyAlignment="1">
      <alignment/>
    </xf>
    <xf numFmtId="181" fontId="5" fillId="0" borderId="20" xfId="79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0" fontId="5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 quotePrefix="1">
      <alignment horizontal="left" vertical="center"/>
    </xf>
    <xf numFmtId="0" fontId="4" fillId="0" borderId="24" xfId="0" applyFont="1" applyBorder="1" applyAlignment="1" quotePrefix="1">
      <alignment horizontal="left" vertical="center"/>
    </xf>
    <xf numFmtId="0" fontId="4" fillId="0" borderId="22" xfId="0" applyFont="1" applyBorder="1" applyAlignment="1" quotePrefix="1">
      <alignment/>
    </xf>
    <xf numFmtId="182" fontId="4" fillId="0" borderId="20" xfId="69" applyNumberFormat="1" applyFont="1" applyBorder="1" applyAlignment="1">
      <alignment/>
    </xf>
    <xf numFmtId="0" fontId="12" fillId="0" borderId="20" xfId="122" applyFont="1" applyFill="1" applyBorder="1" applyAlignment="1" applyProtection="1">
      <alignment vertical="center"/>
      <protection locked="0"/>
    </xf>
    <xf numFmtId="181" fontId="4" fillId="0" borderId="20" xfId="0" applyNumberFormat="1" applyFont="1" applyFill="1" applyBorder="1" applyAlignment="1">
      <alignment/>
    </xf>
    <xf numFmtId="182" fontId="4" fillId="0" borderId="20" xfId="69" applyNumberFormat="1" applyFont="1" applyFill="1" applyBorder="1" applyAlignment="1" applyProtection="1">
      <alignment vertical="center"/>
      <protection locked="0"/>
    </xf>
    <xf numFmtId="0" fontId="5" fillId="0" borderId="27" xfId="122" applyFont="1" applyFill="1" applyBorder="1" applyAlignment="1" applyProtection="1">
      <alignment horizontal="center" vertical="center"/>
      <protection locked="0"/>
    </xf>
    <xf numFmtId="0" fontId="4" fillId="0" borderId="22" xfId="122" applyFont="1" applyFill="1" applyBorder="1" applyAlignment="1" applyProtection="1">
      <alignment horizontal="center" vertical="center"/>
      <protection locked="0"/>
    </xf>
    <xf numFmtId="0" fontId="12" fillId="0" borderId="23" xfId="122" applyFont="1" applyFill="1" applyBorder="1" applyAlignment="1" applyProtection="1">
      <alignment vertical="center" wrapText="1"/>
      <protection locked="0"/>
    </xf>
    <xf numFmtId="10" fontId="4" fillId="0" borderId="20" xfId="128" applyNumberFormat="1" applyFont="1" applyFill="1" applyBorder="1" applyAlignment="1" applyProtection="1">
      <alignment vertical="center"/>
      <protection locked="0"/>
    </xf>
    <xf numFmtId="0" fontId="5" fillId="0" borderId="28" xfId="122" applyFont="1" applyFill="1" applyBorder="1" applyAlignment="1" applyProtection="1">
      <alignment horizontal="center" vertical="center"/>
      <protection locked="0"/>
    </xf>
    <xf numFmtId="0" fontId="4" fillId="0" borderId="22" xfId="122" applyFont="1" applyFill="1" applyBorder="1" applyAlignment="1" applyProtection="1">
      <alignment vertical="center"/>
      <protection locked="0"/>
    </xf>
    <xf numFmtId="0" fontId="4" fillId="0" borderId="28" xfId="122" applyFont="1" applyFill="1" applyBorder="1" applyAlignment="1" applyProtection="1">
      <alignment horizontal="center" vertical="center"/>
      <protection locked="0"/>
    </xf>
    <xf numFmtId="182" fontId="4" fillId="0" borderId="28" xfId="69" applyNumberFormat="1" applyFont="1" applyFill="1" applyBorder="1" applyAlignment="1">
      <alignment/>
    </xf>
    <xf numFmtId="0" fontId="36" fillId="0" borderId="28" xfId="0" applyFont="1" applyFill="1" applyBorder="1" applyAlignment="1">
      <alignment/>
    </xf>
    <xf numFmtId="181" fontId="4" fillId="0" borderId="28" xfId="69" applyNumberFormat="1" applyFont="1" applyFill="1" applyBorder="1" applyAlignment="1" applyProtection="1" quotePrefix="1">
      <alignment vertical="center"/>
      <protection locked="0"/>
    </xf>
    <xf numFmtId="10" fontId="5" fillId="0" borderId="28" xfId="128" applyNumberFormat="1" applyFont="1" applyBorder="1" applyAlignment="1">
      <alignment vertical="center"/>
    </xf>
    <xf numFmtId="0" fontId="4" fillId="0" borderId="26" xfId="122" applyFont="1" applyFill="1" applyBorder="1" applyAlignment="1" applyProtection="1">
      <alignment vertical="center"/>
      <protection locked="0"/>
    </xf>
    <xf numFmtId="0" fontId="5" fillId="0" borderId="29" xfId="122" applyFont="1" applyFill="1" applyBorder="1" applyAlignment="1" applyProtection="1">
      <alignment horizontal="center" vertical="center"/>
      <protection locked="0"/>
    </xf>
    <xf numFmtId="0" fontId="4" fillId="0" borderId="30" xfId="122" applyFont="1" applyFill="1" applyBorder="1" applyAlignment="1" applyProtection="1">
      <alignment vertical="center"/>
      <protection locked="0"/>
    </xf>
    <xf numFmtId="0" fontId="4" fillId="0" borderId="31" xfId="122" applyFont="1" applyFill="1" applyBorder="1" applyAlignment="1" applyProtection="1">
      <alignment horizontal="center" vertical="center"/>
      <protection locked="0"/>
    </xf>
    <xf numFmtId="182" fontId="4" fillId="0" borderId="29" xfId="69" applyNumberFormat="1" applyFont="1" applyFill="1" applyBorder="1" applyAlignment="1" applyProtection="1">
      <alignment vertical="center"/>
      <protection locked="0"/>
    </xf>
    <xf numFmtId="0" fontId="36" fillId="0" borderId="31" xfId="0" applyFont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5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80" fontId="5" fillId="0" borderId="32" xfId="0" applyNumberFormat="1" applyFont="1" applyFill="1" applyBorder="1" applyAlignment="1">
      <alignment horizontal="center" vertical="center" wrapText="1"/>
    </xf>
    <xf numFmtId="180" fontId="5" fillId="0" borderId="29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2 2" xfId="73"/>
    <cellStyle name="Comma 2 3" xfId="74"/>
    <cellStyle name="Comma 2 3 2" xfId="75"/>
    <cellStyle name="Comma 2 4" xfId="76"/>
    <cellStyle name="Comma 3" xfId="77"/>
    <cellStyle name="Comma 3 2" xfId="78"/>
    <cellStyle name="Comma 4" xfId="79"/>
    <cellStyle name="Comma 4 2" xfId="80"/>
    <cellStyle name="Comma 5" xfId="81"/>
    <cellStyle name="Comma 5 2" xfId="82"/>
    <cellStyle name="Comma 6" xfId="83"/>
    <cellStyle name="Comma 6 2" xfId="84"/>
    <cellStyle name="Comma 7" xfId="85"/>
    <cellStyle name="Comma 7 2" xfId="86"/>
    <cellStyle name="Comma 7 2 2" xfId="87"/>
    <cellStyle name="Comma 9" xfId="88"/>
    <cellStyle name="Comma 9 2" xfId="89"/>
    <cellStyle name="Comma 9 2 2" xfId="90"/>
    <cellStyle name="Comma 9 2 2 2" xfId="91"/>
    <cellStyle name="Comma 9 2 3" xfId="92"/>
    <cellStyle name="Currency" xfId="93"/>
    <cellStyle name="Currency [0]" xfId="94"/>
    <cellStyle name="Explanatory Text" xfId="95"/>
    <cellStyle name="Explanatory Text 2" xfId="96"/>
    <cellStyle name="Followed Hyperlink" xfId="97"/>
    <cellStyle name="Good" xfId="98"/>
    <cellStyle name="Good 2" xfId="99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Heading 4" xfId="106"/>
    <cellStyle name="Heading 4 2" xfId="107"/>
    <cellStyle name="Hyperlink" xfId="108"/>
    <cellStyle name="Input" xfId="109"/>
    <cellStyle name="Input 2" xfId="110"/>
    <cellStyle name="Linked Cell" xfId="111"/>
    <cellStyle name="Linked Cell 2" xfId="112"/>
    <cellStyle name="Neutral" xfId="113"/>
    <cellStyle name="Neutral 2" xfId="114"/>
    <cellStyle name="Normal 2" xfId="115"/>
    <cellStyle name="Normal 2 2" xfId="116"/>
    <cellStyle name="Normal 23" xfId="117"/>
    <cellStyle name="Normal 3" xfId="118"/>
    <cellStyle name="Normal 3 2" xfId="119"/>
    <cellStyle name="Normal 4" xfId="120"/>
    <cellStyle name="Normal_BC chi tieu  KT-XH chu yeu 2002- KH 2003" xfId="121"/>
    <cellStyle name="Normal_Nong lam thuy san 6 thang dau nam 2005KTTH" xfId="122"/>
    <cellStyle name="Normal_Sheet1" xfId="123"/>
    <cellStyle name="Note" xfId="124"/>
    <cellStyle name="Note 2" xfId="125"/>
    <cellStyle name="Output" xfId="126"/>
    <cellStyle name="Output 2" xfId="127"/>
    <cellStyle name="Percent" xfId="128"/>
    <cellStyle name="Percent 2" xfId="129"/>
    <cellStyle name="Percent 3" xfId="130"/>
    <cellStyle name="Percent 4" xfId="131"/>
    <cellStyle name="Title" xfId="132"/>
    <cellStyle name="Title 2" xfId="133"/>
    <cellStyle name="Total" xfId="134"/>
    <cellStyle name="Total 2" xfId="135"/>
    <cellStyle name="Warning Text" xfId="136"/>
    <cellStyle name="Warning Text 2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4"/>
  <sheetViews>
    <sheetView tabSelected="1" zoomScalePageLayoutView="0" workbookViewId="0" topLeftCell="A1">
      <pane xSplit="3" ySplit="6" topLeftCell="D1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0" sqref="J10:K16"/>
    </sheetView>
  </sheetViews>
  <sheetFormatPr defaultColWidth="9.140625" defaultRowHeight="15"/>
  <cols>
    <col min="1" max="1" width="4.140625" style="35" customWidth="1"/>
    <col min="2" max="2" width="25.8515625" style="35" customWidth="1"/>
    <col min="3" max="3" width="8.421875" style="35" customWidth="1"/>
    <col min="4" max="4" width="11.28125" style="31" customWidth="1"/>
    <col min="5" max="5" width="11.57421875" style="31" customWidth="1"/>
    <col min="6" max="6" width="11.421875" style="35" customWidth="1"/>
    <col min="7" max="7" width="11.28125" style="21" customWidth="1"/>
    <col min="8" max="9" width="9.421875" style="35" customWidth="1"/>
    <col min="10" max="10" width="9.28125" style="35" customWidth="1"/>
    <col min="11" max="11" width="9.421875" style="35" customWidth="1"/>
    <col min="12" max="12" width="8.8515625" style="35" customWidth="1"/>
    <col min="13" max="13" width="9.57421875" style="35" customWidth="1"/>
    <col min="14" max="14" width="9.00390625" style="35" customWidth="1"/>
    <col min="15" max="15" width="9.57421875" style="35" customWidth="1"/>
    <col min="16" max="18" width="8.7109375" style="35" customWidth="1"/>
    <col min="19" max="19" width="8.8515625" style="35" customWidth="1"/>
    <col min="20" max="20" width="8.57421875" style="35" customWidth="1"/>
    <col min="21" max="21" width="9.140625" style="35" customWidth="1"/>
    <col min="22" max="22" width="10.00390625" style="35" customWidth="1"/>
    <col min="23" max="23" width="9.140625" style="35" customWidth="1"/>
    <col min="24" max="24" width="10.28125" style="35" customWidth="1"/>
    <col min="25" max="16384" width="9.140625" style="35" customWidth="1"/>
  </cols>
  <sheetData>
    <row r="1" spans="1:10" ht="15.75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95"/>
    </row>
    <row r="2" spans="1:10" ht="16.5">
      <c r="A2" s="219" t="s">
        <v>118</v>
      </c>
      <c r="B2" s="219"/>
      <c r="C2" s="219"/>
      <c r="D2" s="219"/>
      <c r="E2" s="219"/>
      <c r="F2" s="219"/>
      <c r="G2" s="219"/>
      <c r="H2" s="219"/>
      <c r="I2" s="219"/>
      <c r="J2" s="96"/>
    </row>
    <row r="3" spans="1:10" ht="15.75">
      <c r="A3" s="220" t="s">
        <v>119</v>
      </c>
      <c r="B3" s="220"/>
      <c r="C3" s="220"/>
      <c r="D3" s="220"/>
      <c r="E3" s="220"/>
      <c r="F3" s="220"/>
      <c r="G3" s="220"/>
      <c r="H3" s="220"/>
      <c r="I3" s="220"/>
      <c r="J3" s="97"/>
    </row>
    <row r="4" spans="1:10" ht="15.75">
      <c r="A4" s="11"/>
      <c r="B4" s="12"/>
      <c r="C4" s="12"/>
      <c r="D4" s="12"/>
      <c r="E4" s="109"/>
      <c r="F4" s="11"/>
      <c r="G4" s="26"/>
      <c r="H4" s="92"/>
      <c r="I4" s="25"/>
      <c r="J4" s="25"/>
    </row>
    <row r="5" spans="1:10" ht="15" customHeight="1">
      <c r="A5" s="221" t="s">
        <v>113</v>
      </c>
      <c r="B5" s="223" t="s">
        <v>1</v>
      </c>
      <c r="C5" s="225" t="s">
        <v>2</v>
      </c>
      <c r="D5" s="229" t="s">
        <v>114</v>
      </c>
      <c r="E5" s="227" t="s">
        <v>112</v>
      </c>
      <c r="F5" s="228"/>
      <c r="G5" s="228"/>
      <c r="H5" s="217" t="s">
        <v>3</v>
      </c>
      <c r="I5" s="217"/>
      <c r="J5" s="99"/>
    </row>
    <row r="6" spans="1:24" ht="53.25" customHeight="1">
      <c r="A6" s="222"/>
      <c r="B6" s="224"/>
      <c r="C6" s="226"/>
      <c r="D6" s="230"/>
      <c r="E6" s="24" t="s">
        <v>4</v>
      </c>
      <c r="F6" s="24" t="s">
        <v>124</v>
      </c>
      <c r="G6" s="98" t="s">
        <v>125</v>
      </c>
      <c r="H6" s="24" t="s">
        <v>115</v>
      </c>
      <c r="I6" s="24" t="s">
        <v>116</v>
      </c>
      <c r="J6" s="99"/>
      <c r="U6" s="23"/>
      <c r="V6" s="23"/>
      <c r="W6" s="23"/>
      <c r="X6" s="23"/>
    </row>
    <row r="7" spans="1:20" ht="15">
      <c r="A7" s="39" t="s">
        <v>5</v>
      </c>
      <c r="B7" s="40" t="s">
        <v>6</v>
      </c>
      <c r="C7" s="88"/>
      <c r="D7" s="75"/>
      <c r="E7" s="110"/>
      <c r="F7" s="72"/>
      <c r="G7" s="75"/>
      <c r="H7" s="37"/>
      <c r="I7" s="37"/>
      <c r="J7" s="102"/>
      <c r="K7" s="30"/>
      <c r="L7" s="30"/>
      <c r="T7" s="32"/>
    </row>
    <row r="8" spans="1:10" ht="15">
      <c r="A8" s="39"/>
      <c r="B8" s="40" t="s">
        <v>7</v>
      </c>
      <c r="C8" s="41"/>
      <c r="D8" s="73"/>
      <c r="E8" s="65"/>
      <c r="F8" s="42"/>
      <c r="G8" s="87"/>
      <c r="H8" s="37"/>
      <c r="I8" s="37"/>
      <c r="J8" s="102"/>
    </row>
    <row r="9" spans="1:18" ht="15">
      <c r="A9" s="43"/>
      <c r="B9" s="40" t="s">
        <v>8</v>
      </c>
      <c r="C9" s="41"/>
      <c r="D9" s="65"/>
      <c r="E9" s="65"/>
      <c r="F9" s="42"/>
      <c r="G9" s="65"/>
      <c r="H9" s="37"/>
      <c r="I9" s="37"/>
      <c r="J9" s="102"/>
      <c r="R9" s="27"/>
    </row>
    <row r="10" spans="1:15" ht="15">
      <c r="A10" s="39"/>
      <c r="B10" s="40" t="s">
        <v>9</v>
      </c>
      <c r="C10" s="52" t="s">
        <v>10</v>
      </c>
      <c r="D10" s="65">
        <f>+D13+D29</f>
        <v>19180.52</v>
      </c>
      <c r="E10" s="65">
        <f>+E13+E29</f>
        <v>106830</v>
      </c>
      <c r="F10" s="65">
        <f>+F13+F29</f>
        <v>34388.520000000004</v>
      </c>
      <c r="G10" s="65">
        <f>+G13+G29</f>
        <v>35478.05</v>
      </c>
      <c r="H10" s="53">
        <f>+G10/D10*100</f>
        <v>184.96917706089303</v>
      </c>
      <c r="I10" s="53">
        <f>+G10/E10*100</f>
        <v>33.20981933913695</v>
      </c>
      <c r="J10" s="100"/>
      <c r="K10" s="30"/>
      <c r="L10" s="30"/>
      <c r="O10" s="20"/>
    </row>
    <row r="11" spans="1:15" ht="15">
      <c r="A11" s="39"/>
      <c r="B11" s="40" t="s">
        <v>109</v>
      </c>
      <c r="C11" s="52" t="s">
        <v>17</v>
      </c>
      <c r="D11" s="65">
        <f>D14+D31</f>
        <v>1324889</v>
      </c>
      <c r="E11" s="65">
        <f>E14+E31</f>
        <v>1709266</v>
      </c>
      <c r="F11" s="65">
        <f>F14+F31</f>
        <v>187816.1998</v>
      </c>
      <c r="G11" s="65">
        <f>G14+G31</f>
        <v>1294997</v>
      </c>
      <c r="H11" s="53">
        <f>+G11/D11*100</f>
        <v>97.7438109909585</v>
      </c>
      <c r="I11" s="53">
        <f>+G11/E11*100</f>
        <v>75.76333935151112</v>
      </c>
      <c r="J11" s="100"/>
      <c r="K11" s="27"/>
      <c r="L11" s="27"/>
      <c r="O11" s="32"/>
    </row>
    <row r="12" spans="1:15" ht="15">
      <c r="A12" s="44"/>
      <c r="B12" s="40" t="s">
        <v>11</v>
      </c>
      <c r="C12" s="52" t="s">
        <v>10</v>
      </c>
      <c r="D12" s="66">
        <f>+D13+D34</f>
        <v>15036.5</v>
      </c>
      <c r="E12" s="66">
        <f>+E13+E34</f>
        <v>57830</v>
      </c>
      <c r="F12" s="66">
        <f>+F13+F34</f>
        <v>30217.420000000002</v>
      </c>
      <c r="G12" s="66">
        <f>+G13+G34</f>
        <v>31306.95</v>
      </c>
      <c r="H12" s="53">
        <f>+G12/D12*100</f>
        <v>208.20636451301831</v>
      </c>
      <c r="I12" s="53">
        <f>+G12/E12*100</f>
        <v>54.13617499567699</v>
      </c>
      <c r="J12" s="100"/>
      <c r="O12" s="33"/>
    </row>
    <row r="13" spans="1:16" ht="15">
      <c r="A13" s="45" t="s">
        <v>44</v>
      </c>
      <c r="B13" s="40" t="s">
        <v>12</v>
      </c>
      <c r="C13" s="52" t="s">
        <v>10</v>
      </c>
      <c r="D13" s="66">
        <f>D21+D25</f>
        <v>14628.8</v>
      </c>
      <c r="E13" s="66">
        <f>E21+E25</f>
        <v>53930</v>
      </c>
      <c r="F13" s="66">
        <f>F21+F25</f>
        <v>29820.45</v>
      </c>
      <c r="G13" s="66">
        <f>G21+G25</f>
        <v>30909.98</v>
      </c>
      <c r="H13" s="53">
        <f>+G13/D13*100</f>
        <v>211.29538991578255</v>
      </c>
      <c r="I13" s="53">
        <f>+G13/E13*100</f>
        <v>57.315000927127755</v>
      </c>
      <c r="J13" s="100"/>
      <c r="K13" s="30"/>
      <c r="L13" s="30"/>
      <c r="P13" s="34"/>
    </row>
    <row r="14" spans="1:16" ht="15">
      <c r="A14" s="45"/>
      <c r="B14" s="40" t="s">
        <v>111</v>
      </c>
      <c r="C14" s="52" t="s">
        <v>17</v>
      </c>
      <c r="D14" s="66">
        <f>D23+D27</f>
        <v>0</v>
      </c>
      <c r="E14" s="66">
        <f>E23+E27</f>
        <v>357556</v>
      </c>
      <c r="F14" s="66">
        <f>F23+F27</f>
        <v>0</v>
      </c>
      <c r="G14" s="66">
        <f>G23+G27</f>
        <v>0</v>
      </c>
      <c r="H14" s="53" t="e">
        <f>+G14/D14*100</f>
        <v>#DIV/0!</v>
      </c>
      <c r="I14" s="53">
        <f>+G14/E14*100</f>
        <v>0</v>
      </c>
      <c r="J14" s="100"/>
      <c r="K14" s="30"/>
      <c r="L14" s="30"/>
      <c r="O14" s="20"/>
      <c r="P14" s="34"/>
    </row>
    <row r="15" spans="1:22" s="21" customFormat="1" ht="15">
      <c r="A15" s="45" t="s">
        <v>92</v>
      </c>
      <c r="B15" s="47" t="s">
        <v>121</v>
      </c>
      <c r="C15" s="38"/>
      <c r="D15" s="116"/>
      <c r="E15" s="111"/>
      <c r="F15" s="74"/>
      <c r="G15" s="64"/>
      <c r="H15" s="54"/>
      <c r="I15" s="54"/>
      <c r="J15" s="101"/>
      <c r="K15" s="28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s="21" customFormat="1" ht="15">
      <c r="A16" s="45"/>
      <c r="B16" s="46" t="s">
        <v>117</v>
      </c>
      <c r="C16" s="38" t="s">
        <v>10</v>
      </c>
      <c r="D16" s="117">
        <v>68656</v>
      </c>
      <c r="E16" s="111">
        <v>70000</v>
      </c>
      <c r="F16" s="74"/>
      <c r="G16" s="64">
        <v>75162.71</v>
      </c>
      <c r="H16" s="54">
        <f>+G16/D16*100</f>
        <v>109.47726345840132</v>
      </c>
      <c r="I16" s="54">
        <f>+G16/E16*100</f>
        <v>107.37530000000002</v>
      </c>
      <c r="J16" s="101"/>
      <c r="K16" s="30"/>
      <c r="L16" s="30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s="21" customFormat="1" ht="15">
      <c r="A17" s="45"/>
      <c r="B17" s="46" t="s">
        <v>13</v>
      </c>
      <c r="C17" s="38" t="s">
        <v>10</v>
      </c>
      <c r="D17" s="118">
        <v>20280</v>
      </c>
      <c r="E17" s="111">
        <f>+E16</f>
        <v>70000</v>
      </c>
      <c r="F17" s="119">
        <f>+G17-1810</f>
        <v>50214</v>
      </c>
      <c r="G17" s="120">
        <v>52024</v>
      </c>
      <c r="H17" s="54">
        <f>+G17/D17*100</f>
        <v>256.5285996055227</v>
      </c>
      <c r="I17" s="54">
        <f>+G17/E17*100</f>
        <v>74.32</v>
      </c>
      <c r="J17" s="101"/>
      <c r="K17" s="28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s="21" customFormat="1" ht="15">
      <c r="A18" s="45"/>
      <c r="B18" s="46" t="s">
        <v>14</v>
      </c>
      <c r="C18" s="36" t="s">
        <v>15</v>
      </c>
      <c r="D18" s="121">
        <f>+D19/D17*10</f>
        <v>51.286489151873766</v>
      </c>
      <c r="E18" s="121">
        <f>+E19/E17*10</f>
        <v>52.5</v>
      </c>
      <c r="F18" s="121">
        <f>+F19/F17*10</f>
        <v>51.95</v>
      </c>
      <c r="G18" s="121">
        <f>+G19/G17*10</f>
        <v>51.9373750576657</v>
      </c>
      <c r="H18" s="54">
        <f>+G18/D18*100</f>
        <v>101.26911768880196</v>
      </c>
      <c r="I18" s="54">
        <f>+G18/E18*100</f>
        <v>98.92833344317276</v>
      </c>
      <c r="J18" s="101"/>
      <c r="K18" s="28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5">
      <c r="A19" s="48"/>
      <c r="B19" s="46" t="s">
        <v>16</v>
      </c>
      <c r="C19" s="38" t="s">
        <v>17</v>
      </c>
      <c r="D19" s="122">
        <v>104009</v>
      </c>
      <c r="E19" s="111">
        <v>367500</v>
      </c>
      <c r="F19" s="74">
        <f>F17*5.195</f>
        <v>260861.73</v>
      </c>
      <c r="G19" s="74">
        <v>270199</v>
      </c>
      <c r="H19" s="54">
        <f>+G19/D19*100</f>
        <v>259.7842494399523</v>
      </c>
      <c r="I19" s="54">
        <f>+G19/E19*100</f>
        <v>73.52353741496599</v>
      </c>
      <c r="J19" s="101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ht="15">
      <c r="A20" s="48" t="s">
        <v>93</v>
      </c>
      <c r="B20" s="47" t="s">
        <v>122</v>
      </c>
      <c r="C20" s="38"/>
      <c r="D20" s="64"/>
      <c r="E20" s="111"/>
      <c r="F20" s="74"/>
      <c r="G20" s="64"/>
      <c r="H20" s="54"/>
      <c r="I20" s="54"/>
      <c r="J20" s="101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15">
      <c r="A21" s="48"/>
      <c r="B21" s="46" t="s">
        <v>117</v>
      </c>
      <c r="C21" s="38" t="s">
        <v>18</v>
      </c>
      <c r="D21" s="64">
        <v>1340</v>
      </c>
      <c r="E21" s="111"/>
      <c r="F21" s="74"/>
      <c r="G21" s="64">
        <v>1089.53</v>
      </c>
      <c r="H21" s="54">
        <f>+G21/D21*100</f>
        <v>81.30820895522388</v>
      </c>
      <c r="I21" s="54"/>
      <c r="J21" s="101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ht="15">
      <c r="A22" s="48"/>
      <c r="B22" s="46" t="s">
        <v>14</v>
      </c>
      <c r="C22" s="36" t="s">
        <v>15</v>
      </c>
      <c r="D22" s="123"/>
      <c r="E22" s="111"/>
      <c r="F22" s="74"/>
      <c r="G22" s="64"/>
      <c r="H22" s="54"/>
      <c r="I22" s="54"/>
      <c r="J22" s="101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ht="15">
      <c r="A23" s="48"/>
      <c r="B23" s="46" t="s">
        <v>16</v>
      </c>
      <c r="C23" s="38" t="s">
        <v>17</v>
      </c>
      <c r="D23" s="124"/>
      <c r="E23" s="111"/>
      <c r="F23" s="74"/>
      <c r="G23" s="64"/>
      <c r="H23" s="54"/>
      <c r="I23" s="54"/>
      <c r="J23" s="10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ht="15">
      <c r="A24" s="48" t="s">
        <v>94</v>
      </c>
      <c r="B24" s="47" t="s">
        <v>123</v>
      </c>
      <c r="C24" s="38"/>
      <c r="D24" s="124"/>
      <c r="E24" s="111"/>
      <c r="F24" s="74"/>
      <c r="G24" s="64"/>
      <c r="H24" s="54"/>
      <c r="I24" s="115"/>
      <c r="J24" s="10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ht="15">
      <c r="A25" s="48"/>
      <c r="B25" s="46" t="s">
        <v>117</v>
      </c>
      <c r="C25" s="38" t="s">
        <v>18</v>
      </c>
      <c r="D25" s="124">
        <v>13288.8</v>
      </c>
      <c r="E25" s="111">
        <v>53930</v>
      </c>
      <c r="F25" s="74">
        <f>G25</f>
        <v>29820.45</v>
      </c>
      <c r="G25" s="64">
        <v>29820.45</v>
      </c>
      <c r="H25" s="54">
        <f>+G25/D25*100</f>
        <v>224.4028806212751</v>
      </c>
      <c r="I25" s="115">
        <f>+G25/E25*100</f>
        <v>55.29473391433339</v>
      </c>
      <c r="J25" s="10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15">
      <c r="A26" s="48"/>
      <c r="B26" s="46" t="s">
        <v>14</v>
      </c>
      <c r="C26" s="36" t="s">
        <v>15</v>
      </c>
      <c r="D26" s="124"/>
      <c r="E26" s="121">
        <f>+E27/E25*10</f>
        <v>66.30001854255516</v>
      </c>
      <c r="F26" s="74"/>
      <c r="G26" s="64"/>
      <c r="H26" s="54"/>
      <c r="I26" s="54"/>
      <c r="J26" s="101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ht="15">
      <c r="A27" s="48"/>
      <c r="B27" s="46" t="s">
        <v>16</v>
      </c>
      <c r="C27" s="38" t="s">
        <v>17</v>
      </c>
      <c r="D27" s="124"/>
      <c r="E27" s="111">
        <v>357556</v>
      </c>
      <c r="F27" s="74"/>
      <c r="G27" s="64"/>
      <c r="H27" s="54"/>
      <c r="I27" s="54"/>
      <c r="J27" s="101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ht="15">
      <c r="A28" s="48" t="s">
        <v>46</v>
      </c>
      <c r="B28" s="49" t="s">
        <v>120</v>
      </c>
      <c r="C28" s="36"/>
      <c r="D28" s="122"/>
      <c r="E28" s="111"/>
      <c r="F28" s="125"/>
      <c r="G28" s="64"/>
      <c r="H28" s="53"/>
      <c r="I28" s="54"/>
      <c r="J28" s="101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ht="15">
      <c r="A29" s="48"/>
      <c r="B29" s="49" t="s">
        <v>19</v>
      </c>
      <c r="C29" s="36" t="s">
        <v>10</v>
      </c>
      <c r="D29" s="126">
        <f>D32+D53+D64</f>
        <v>4551.72</v>
      </c>
      <c r="E29" s="126">
        <f>E32+E53+E64</f>
        <v>52900</v>
      </c>
      <c r="F29" s="126">
        <f>F32+F53+F64</f>
        <v>4568.07</v>
      </c>
      <c r="G29" s="126">
        <f>G32+G53+G64</f>
        <v>4568.07</v>
      </c>
      <c r="H29" s="53">
        <f>+G29/D29*100</f>
        <v>100.35920487200443</v>
      </c>
      <c r="I29" s="53">
        <f>+G29/E29*100</f>
        <v>8.635293005671077</v>
      </c>
      <c r="J29" s="100"/>
      <c r="K29" s="30"/>
      <c r="L29" s="30"/>
      <c r="M29" s="29"/>
      <c r="N29" s="28"/>
      <c r="O29" s="28"/>
      <c r="P29" s="28"/>
      <c r="Q29" s="28"/>
      <c r="R29" s="28"/>
      <c r="S29" s="2"/>
      <c r="T29" s="6"/>
      <c r="U29" s="7"/>
      <c r="V29" s="6"/>
    </row>
    <row r="30" spans="1:22" ht="15">
      <c r="A30" s="48"/>
      <c r="B30" s="49" t="s">
        <v>20</v>
      </c>
      <c r="C30" s="36" t="s">
        <v>10</v>
      </c>
      <c r="D30" s="126">
        <f>+D35+D40+D45+D50+D56+D61+D67+D72+D77+D82</f>
        <v>50731.03</v>
      </c>
      <c r="E30" s="126">
        <f>+E35+E40+E45+E50+E56+E61+E67+E72+E77+E82</f>
        <v>52900</v>
      </c>
      <c r="F30" s="126">
        <f>+F35+F40+F45+F50+F56+F61+F67+F72+F77+F82</f>
        <v>6573.080000000001</v>
      </c>
      <c r="G30" s="126">
        <f>+G35+G40+G45+G50+G56+G61+G67+G72+G77+G82</f>
        <v>50647.62</v>
      </c>
      <c r="H30" s="53">
        <f>+G30/D30*100</f>
        <v>99.83558386257879</v>
      </c>
      <c r="I30" s="53">
        <f>+G30/E30*100</f>
        <v>95.74219281663517</v>
      </c>
      <c r="J30" s="100"/>
      <c r="K30" s="28"/>
      <c r="L30" s="28"/>
      <c r="M30" s="19"/>
      <c r="N30" s="28"/>
      <c r="O30" s="28"/>
      <c r="P30" s="28"/>
      <c r="Q30" s="28"/>
      <c r="R30" s="28"/>
      <c r="S30" s="28"/>
      <c r="T30" s="28"/>
      <c r="U30" s="28"/>
      <c r="V30" s="28"/>
    </row>
    <row r="31" spans="1:22" ht="15">
      <c r="A31" s="48"/>
      <c r="B31" s="49" t="s">
        <v>110</v>
      </c>
      <c r="C31" s="38" t="s">
        <v>17</v>
      </c>
      <c r="D31" s="127">
        <f>+D37+D42+D47+D52+D58+D63+D69+D74+D79+D83</f>
        <v>1324889</v>
      </c>
      <c r="E31" s="127">
        <f>+E37+E42+E47+E52+E58+E63+E69+E74+E79+E83</f>
        <v>1351710</v>
      </c>
      <c r="F31" s="127">
        <f>+F37+F42+F47+F52+F58+F63+F69+F74+F79+F83</f>
        <v>187816.1998</v>
      </c>
      <c r="G31" s="127">
        <f>+G37+G42+G47+G52+G58+G63+G69+G74+G79+G83</f>
        <v>1294997</v>
      </c>
      <c r="H31" s="53">
        <f>+G31/D31*100</f>
        <v>97.7438109909585</v>
      </c>
      <c r="I31" s="53">
        <f>+G31/E31*100</f>
        <v>95.80435152510523</v>
      </c>
      <c r="J31" s="100"/>
      <c r="K31" s="28"/>
      <c r="L31" s="30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ht="15">
      <c r="A32" s="48" t="s">
        <v>92</v>
      </c>
      <c r="B32" s="49" t="s">
        <v>95</v>
      </c>
      <c r="C32" s="36" t="s">
        <v>10</v>
      </c>
      <c r="D32" s="126">
        <f>+D34+D39+D44+D49</f>
        <v>544.57</v>
      </c>
      <c r="E32" s="126">
        <f>+E34+E39+E44+E49</f>
        <v>6300</v>
      </c>
      <c r="F32" s="126">
        <f>+F34+F39+F44+F49</f>
        <v>532.37</v>
      </c>
      <c r="G32" s="126">
        <f>+G34+G39+G44+G49</f>
        <v>532.37</v>
      </c>
      <c r="H32" s="53">
        <f>+G32/D32*100</f>
        <v>97.75970031400921</v>
      </c>
      <c r="I32" s="53">
        <f>+G32/E32*100</f>
        <v>8.45031746031746</v>
      </c>
      <c r="J32" s="100"/>
      <c r="K32" s="29"/>
      <c r="L32" s="29"/>
      <c r="M32" s="9"/>
      <c r="N32" s="29"/>
      <c r="O32" s="29"/>
      <c r="P32" s="29"/>
      <c r="Q32" s="29"/>
      <c r="R32" s="29"/>
      <c r="S32" s="28"/>
      <c r="T32" s="28"/>
      <c r="U32" s="28"/>
      <c r="V32" s="28"/>
    </row>
    <row r="33" spans="1:22" ht="15">
      <c r="A33" s="48"/>
      <c r="B33" s="40" t="s">
        <v>21</v>
      </c>
      <c r="C33" s="36"/>
      <c r="D33" s="85"/>
      <c r="E33" s="85"/>
      <c r="F33" s="85"/>
      <c r="G33" s="85"/>
      <c r="H33" s="54"/>
      <c r="I33" s="54"/>
      <c r="J33" s="101"/>
      <c r="K33" s="28"/>
      <c r="L33" s="28"/>
      <c r="M33" s="29"/>
      <c r="N33" s="28"/>
      <c r="O33" s="28"/>
      <c r="P33" s="28"/>
      <c r="Q33" s="28"/>
      <c r="R33" s="28"/>
      <c r="S33" s="28"/>
      <c r="T33" s="28"/>
      <c r="U33" s="28"/>
      <c r="V33" s="28"/>
    </row>
    <row r="34" spans="1:22" ht="15">
      <c r="A34" s="48"/>
      <c r="B34" s="55" t="s">
        <v>26</v>
      </c>
      <c r="C34" s="36" t="s">
        <v>10</v>
      </c>
      <c r="D34" s="128">
        <v>407.70000000000005</v>
      </c>
      <c r="E34" s="129">
        <v>3900</v>
      </c>
      <c r="F34" s="130">
        <v>396.97</v>
      </c>
      <c r="G34" s="131">
        <f>F34</f>
        <v>396.97</v>
      </c>
      <c r="H34" s="54">
        <f>+G34/D34*100</f>
        <v>97.3681628648516</v>
      </c>
      <c r="I34" s="54">
        <f>+G34/E34*100</f>
        <v>10.17871794871795</v>
      </c>
      <c r="J34" s="101"/>
      <c r="K34" s="2"/>
      <c r="L34" s="2"/>
      <c r="M34" s="2"/>
      <c r="N34" s="6"/>
      <c r="O34" s="6"/>
      <c r="P34" s="6"/>
      <c r="Q34" s="6"/>
      <c r="R34" s="6"/>
      <c r="S34" s="28"/>
      <c r="T34" s="28"/>
      <c r="U34" s="28"/>
      <c r="V34" s="28"/>
    </row>
    <row r="35" spans="1:22" ht="15">
      <c r="A35" s="48"/>
      <c r="B35" s="55" t="s">
        <v>27</v>
      </c>
      <c r="C35" s="56" t="s">
        <v>22</v>
      </c>
      <c r="D35" s="132">
        <v>3718</v>
      </c>
      <c r="E35" s="129">
        <f>+E34</f>
        <v>3900</v>
      </c>
      <c r="F35" s="133">
        <f>+G35-3018.46</f>
        <v>772.54</v>
      </c>
      <c r="G35" s="133">
        <v>3791</v>
      </c>
      <c r="H35" s="54">
        <f>+G35/D35*100</f>
        <v>101.96342119419042</v>
      </c>
      <c r="I35" s="54">
        <f>+G35/E35*100</f>
        <v>97.2051282051282</v>
      </c>
      <c r="J35" s="101"/>
      <c r="K35" s="8"/>
      <c r="L35" s="8"/>
      <c r="M35" s="2"/>
      <c r="N35" s="6"/>
      <c r="O35" s="6"/>
      <c r="P35" s="6"/>
      <c r="Q35" s="6"/>
      <c r="R35" s="6"/>
      <c r="S35" s="28"/>
      <c r="T35" s="28"/>
      <c r="U35" s="28"/>
      <c r="V35" s="28"/>
    </row>
    <row r="36" spans="1:22" ht="15">
      <c r="A36" s="48"/>
      <c r="B36" s="55" t="s">
        <v>28</v>
      </c>
      <c r="C36" s="36" t="s">
        <v>15</v>
      </c>
      <c r="D36" s="132">
        <f>+D37/D35*10</f>
        <v>54.989241527703065</v>
      </c>
      <c r="E36" s="134">
        <f>E37/E35*10</f>
        <v>55.5</v>
      </c>
      <c r="F36" s="133">
        <f>+F37/F35*10</f>
        <v>52.1</v>
      </c>
      <c r="G36" s="133">
        <f>+G37/G35*10</f>
        <v>55.120021102611446</v>
      </c>
      <c r="H36" s="54">
        <f>+G36/D36*100</f>
        <v>100.23782756640223</v>
      </c>
      <c r="I36" s="54">
        <f>+G36/E36*100</f>
        <v>99.31535333803863</v>
      </c>
      <c r="J36" s="101"/>
      <c r="K36" s="2"/>
      <c r="L36" s="2"/>
      <c r="M36" s="2"/>
      <c r="N36" s="6"/>
      <c r="O36" s="6"/>
      <c r="P36" s="6"/>
      <c r="Q36" s="6"/>
      <c r="R36" s="6"/>
      <c r="S36" s="28"/>
      <c r="T36" s="28"/>
      <c r="U36" s="28"/>
      <c r="V36" s="28"/>
    </row>
    <row r="37" spans="1:22" ht="15">
      <c r="A37" s="48"/>
      <c r="B37" s="57" t="s">
        <v>29</v>
      </c>
      <c r="C37" s="36" t="s">
        <v>23</v>
      </c>
      <c r="D37" s="135">
        <v>20445</v>
      </c>
      <c r="E37" s="129">
        <v>21645</v>
      </c>
      <c r="F37" s="64">
        <f>+F35*5.21</f>
        <v>4024.9334</v>
      </c>
      <c r="G37" s="64">
        <v>20896</v>
      </c>
      <c r="H37" s="54">
        <f>+G37/D37*100</f>
        <v>102.20591831743701</v>
      </c>
      <c r="I37" s="54">
        <f>+G37/E37*100</f>
        <v>96.53961653961653</v>
      </c>
      <c r="J37" s="101"/>
      <c r="K37" s="30"/>
      <c r="L37" s="30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ht="15">
      <c r="A38" s="48"/>
      <c r="B38" s="40" t="s">
        <v>25</v>
      </c>
      <c r="C38" s="36"/>
      <c r="D38" s="132"/>
      <c r="E38" s="112"/>
      <c r="F38" s="76"/>
      <c r="G38" s="64"/>
      <c r="H38" s="54"/>
      <c r="I38" s="54"/>
      <c r="J38" s="101"/>
      <c r="K38" s="2"/>
      <c r="L38" s="2"/>
      <c r="M38" s="29"/>
      <c r="N38" s="28"/>
      <c r="O38" s="28"/>
      <c r="P38" s="28"/>
      <c r="Q38" s="28"/>
      <c r="R38" s="28"/>
      <c r="S38" s="28"/>
      <c r="T38" s="28"/>
      <c r="U38" s="28"/>
      <c r="V38" s="28"/>
    </row>
    <row r="39" spans="1:22" ht="15">
      <c r="A39" s="48"/>
      <c r="B39" s="55" t="s">
        <v>26</v>
      </c>
      <c r="C39" s="36" t="s">
        <v>10</v>
      </c>
      <c r="D39" s="128">
        <v>51.52</v>
      </c>
      <c r="E39" s="129">
        <v>1250</v>
      </c>
      <c r="F39" s="130">
        <v>49.3</v>
      </c>
      <c r="G39" s="131">
        <f>F39</f>
        <v>49.3</v>
      </c>
      <c r="H39" s="54">
        <f>+G39/D39*100</f>
        <v>95.69099378881987</v>
      </c>
      <c r="I39" s="54">
        <f>+G39/E39*100</f>
        <v>3.9439999999999995</v>
      </c>
      <c r="J39" s="101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ht="15">
      <c r="A40" s="48"/>
      <c r="B40" s="55" t="s">
        <v>27</v>
      </c>
      <c r="C40" s="56" t="s">
        <v>22</v>
      </c>
      <c r="D40" s="136">
        <v>1201.68</v>
      </c>
      <c r="E40" s="129">
        <f>+E39</f>
        <v>1250</v>
      </c>
      <c r="F40" s="133">
        <f>+G40-968.18</f>
        <v>248.82000000000005</v>
      </c>
      <c r="G40" s="133">
        <v>1217</v>
      </c>
      <c r="H40" s="54">
        <f>+G40/D40*100</f>
        <v>101.27488183210171</v>
      </c>
      <c r="I40" s="54">
        <f>+G40/E40*100</f>
        <v>97.36</v>
      </c>
      <c r="J40" s="101"/>
      <c r="K40" s="28"/>
      <c r="L40" s="28"/>
      <c r="M40" s="29"/>
      <c r="N40" s="28"/>
      <c r="O40" s="28"/>
      <c r="P40" s="28"/>
      <c r="Q40" s="28"/>
      <c r="R40" s="28"/>
      <c r="S40" s="28"/>
      <c r="T40" s="28"/>
      <c r="U40" s="28"/>
      <c r="V40" s="28"/>
    </row>
    <row r="41" spans="1:22" ht="15">
      <c r="A41" s="48"/>
      <c r="B41" s="55" t="s">
        <v>28</v>
      </c>
      <c r="C41" s="36" t="s">
        <v>15</v>
      </c>
      <c r="D41" s="137">
        <f>D42/D40*10</f>
        <v>161.75687371013913</v>
      </c>
      <c r="E41" s="134">
        <f>E42/E40*10</f>
        <v>162</v>
      </c>
      <c r="F41" s="133">
        <f>+F42/F40*10</f>
        <v>163.1</v>
      </c>
      <c r="G41" s="133">
        <f>+G42/G40*10</f>
        <v>161.99671322925226</v>
      </c>
      <c r="H41" s="54">
        <f>+G41/D41*100</f>
        <v>100.14827160887327</v>
      </c>
      <c r="I41" s="54">
        <f>+G41/E41*100</f>
        <v>99.99797112916806</v>
      </c>
      <c r="J41" s="101"/>
      <c r="K41" s="28"/>
      <c r="L41" s="28"/>
      <c r="M41" s="29"/>
      <c r="N41" s="28"/>
      <c r="O41" s="28"/>
      <c r="P41" s="28"/>
      <c r="Q41" s="28"/>
      <c r="R41" s="28"/>
      <c r="S41" s="28"/>
      <c r="T41" s="28"/>
      <c r="U41" s="28"/>
      <c r="V41" s="28"/>
    </row>
    <row r="42" spans="1:22" ht="15">
      <c r="A42" s="48"/>
      <c r="B42" s="55" t="s">
        <v>29</v>
      </c>
      <c r="C42" s="36" t="s">
        <v>23</v>
      </c>
      <c r="D42" s="136">
        <v>19438</v>
      </c>
      <c r="E42" s="129">
        <v>20250</v>
      </c>
      <c r="F42" s="64">
        <f>+F40*16.31</f>
        <v>4058.2542000000003</v>
      </c>
      <c r="G42" s="64">
        <v>19715</v>
      </c>
      <c r="H42" s="54">
        <f>+G42/D42*100</f>
        <v>101.42504372877868</v>
      </c>
      <c r="I42" s="54">
        <f>+G42/E42*100</f>
        <v>97.35802469135803</v>
      </c>
      <c r="J42" s="101"/>
      <c r="K42" s="30"/>
      <c r="L42" s="30"/>
      <c r="M42" s="3"/>
      <c r="N42" s="28"/>
      <c r="O42" s="28"/>
      <c r="P42" s="28"/>
      <c r="Q42" s="28"/>
      <c r="R42" s="28"/>
      <c r="S42" s="28"/>
      <c r="T42" s="28"/>
      <c r="U42" s="28"/>
      <c r="V42" s="28"/>
    </row>
    <row r="43" spans="1:22" ht="15">
      <c r="A43" s="48"/>
      <c r="B43" s="40" t="s">
        <v>96</v>
      </c>
      <c r="C43" s="36"/>
      <c r="D43" s="135"/>
      <c r="E43" s="112"/>
      <c r="F43" s="76"/>
      <c r="G43" s="64"/>
      <c r="H43" s="54"/>
      <c r="I43" s="54"/>
      <c r="J43" s="101"/>
      <c r="K43" s="28"/>
      <c r="L43" s="28"/>
      <c r="M43" s="29"/>
      <c r="N43" s="28"/>
      <c r="O43" s="28"/>
      <c r="P43" s="28"/>
      <c r="Q43" s="28"/>
      <c r="R43" s="28"/>
      <c r="S43" s="28"/>
      <c r="T43" s="28"/>
      <c r="U43" s="28"/>
      <c r="V43" s="28"/>
    </row>
    <row r="44" spans="1:22" ht="15">
      <c r="A44" s="48"/>
      <c r="B44" s="55" t="s">
        <v>26</v>
      </c>
      <c r="C44" s="36" t="s">
        <v>10</v>
      </c>
      <c r="D44" s="128">
        <v>40.9</v>
      </c>
      <c r="E44" s="129">
        <v>700</v>
      </c>
      <c r="F44" s="130">
        <v>44.7</v>
      </c>
      <c r="G44" s="131">
        <f>F44</f>
        <v>44.7</v>
      </c>
      <c r="H44" s="54">
        <f>+G44/D44*100</f>
        <v>109.29095354523228</v>
      </c>
      <c r="I44" s="54">
        <f>+G44/E44*100</f>
        <v>6.385714285714286</v>
      </c>
      <c r="J44" s="101"/>
      <c r="K44" s="28"/>
      <c r="L44" s="28"/>
      <c r="M44" s="28"/>
      <c r="N44" s="28"/>
      <c r="O44" s="28"/>
      <c r="P44" s="28"/>
      <c r="Q44" s="28"/>
      <c r="R44" s="28"/>
      <c r="S44" s="2"/>
      <c r="T44" s="6"/>
      <c r="U44" s="7"/>
      <c r="V44" s="6"/>
    </row>
    <row r="45" spans="1:22" ht="15">
      <c r="A45" s="48"/>
      <c r="B45" s="55" t="s">
        <v>27</v>
      </c>
      <c r="C45" s="56" t="s">
        <v>22</v>
      </c>
      <c r="D45" s="138">
        <v>654.21</v>
      </c>
      <c r="E45" s="129">
        <f>+E44</f>
        <v>700</v>
      </c>
      <c r="F45" s="139">
        <f>+G45-486.45</f>
        <v>126.55000000000001</v>
      </c>
      <c r="G45" s="133">
        <v>613</v>
      </c>
      <c r="H45" s="54">
        <f>+G45/D45*100</f>
        <v>93.7007994374895</v>
      </c>
      <c r="I45" s="54">
        <f>+G45/E45*100</f>
        <v>87.57142857142857</v>
      </c>
      <c r="J45" s="101"/>
      <c r="K45" s="29"/>
      <c r="L45" s="29"/>
      <c r="M45" s="3"/>
      <c r="N45" s="28"/>
      <c r="O45" s="28"/>
      <c r="P45" s="28"/>
      <c r="Q45" s="28"/>
      <c r="R45" s="28"/>
      <c r="S45" s="2"/>
      <c r="T45" s="2"/>
      <c r="U45" s="7"/>
      <c r="V45" s="6"/>
    </row>
    <row r="46" spans="1:22" ht="15">
      <c r="A46" s="48"/>
      <c r="B46" s="55" t="s">
        <v>28</v>
      </c>
      <c r="C46" s="36" t="s">
        <v>15</v>
      </c>
      <c r="D46" s="137">
        <f>D47/D45*10</f>
        <v>173.43054982345114</v>
      </c>
      <c r="E46" s="134">
        <f>E47/E45*10</f>
        <v>180</v>
      </c>
      <c r="F46" s="140">
        <f>+F47/F45*10</f>
        <v>163</v>
      </c>
      <c r="G46" s="140">
        <f>+G47/G45*10</f>
        <v>174.73083197389886</v>
      </c>
      <c r="H46" s="54">
        <f>+G46/D46*100</f>
        <v>100.74974227537845</v>
      </c>
      <c r="I46" s="54">
        <f>+G46/E46*100</f>
        <v>97.0726844299438</v>
      </c>
      <c r="J46" s="101"/>
      <c r="K46" s="28"/>
      <c r="L46" s="28"/>
      <c r="M46" s="28"/>
      <c r="N46" s="28"/>
      <c r="O46" s="28"/>
      <c r="P46" s="28"/>
      <c r="Q46" s="28"/>
      <c r="R46" s="28"/>
      <c r="S46" s="2"/>
      <c r="T46" s="6"/>
      <c r="U46" s="7"/>
      <c r="V46" s="6"/>
    </row>
    <row r="47" spans="1:22" ht="15">
      <c r="A47" s="48"/>
      <c r="B47" s="58" t="s">
        <v>29</v>
      </c>
      <c r="C47" s="36" t="s">
        <v>23</v>
      </c>
      <c r="D47" s="136">
        <v>11346</v>
      </c>
      <c r="E47" s="112">
        <v>12600</v>
      </c>
      <c r="F47" s="64">
        <f>+F45*16.3</f>
        <v>2062.7650000000003</v>
      </c>
      <c r="G47" s="64">
        <v>10711</v>
      </c>
      <c r="H47" s="54">
        <f>+G47/D47*100</f>
        <v>94.40331394323991</v>
      </c>
      <c r="I47" s="54">
        <f>+G47/E47*100</f>
        <v>85.0079365079365</v>
      </c>
      <c r="J47" s="101"/>
      <c r="K47" s="30"/>
      <c r="L47" s="30"/>
      <c r="M47" s="30"/>
      <c r="N47" s="28"/>
      <c r="O47" s="28"/>
      <c r="P47" s="28"/>
      <c r="Q47" s="28"/>
      <c r="R47" s="28"/>
      <c r="S47" s="28"/>
      <c r="T47" s="28"/>
      <c r="U47" s="28"/>
      <c r="V47" s="28"/>
    </row>
    <row r="48" spans="1:22" ht="15">
      <c r="A48" s="48"/>
      <c r="B48" s="40" t="s">
        <v>30</v>
      </c>
      <c r="C48" s="36"/>
      <c r="D48" s="135"/>
      <c r="E48" s="141"/>
      <c r="F48" s="76"/>
      <c r="G48" s="64"/>
      <c r="H48" s="54"/>
      <c r="I48" s="54"/>
      <c r="J48" s="101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ht="15">
      <c r="A49" s="48"/>
      <c r="B49" s="55" t="s">
        <v>26</v>
      </c>
      <c r="C49" s="36" t="s">
        <v>10</v>
      </c>
      <c r="D49" s="128">
        <v>44.45</v>
      </c>
      <c r="E49" s="129">
        <v>450</v>
      </c>
      <c r="F49" s="130">
        <v>41.4</v>
      </c>
      <c r="G49" s="131">
        <f>F49</f>
        <v>41.4</v>
      </c>
      <c r="H49" s="54">
        <f>+G49/D49*100</f>
        <v>93.13835770528684</v>
      </c>
      <c r="I49" s="54">
        <f>+G49/E49*100</f>
        <v>9.2</v>
      </c>
      <c r="J49" s="101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ht="15">
      <c r="A50" s="48"/>
      <c r="B50" s="55" t="s">
        <v>27</v>
      </c>
      <c r="C50" s="56" t="s">
        <v>22</v>
      </c>
      <c r="D50" s="142">
        <v>396.69</v>
      </c>
      <c r="E50" s="143">
        <f>+E49</f>
        <v>450</v>
      </c>
      <c r="F50" s="144">
        <f>+G50-318.33</f>
        <v>60.670000000000016</v>
      </c>
      <c r="G50" s="133">
        <v>379</v>
      </c>
      <c r="H50" s="54">
        <f>+G50/D50*100</f>
        <v>95.54059845219189</v>
      </c>
      <c r="I50" s="54">
        <f>+G50/E50*100</f>
        <v>84.22222222222221</v>
      </c>
      <c r="J50" s="101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ht="15">
      <c r="A51" s="48"/>
      <c r="B51" s="55" t="s">
        <v>28</v>
      </c>
      <c r="C51" s="36" t="s">
        <v>15</v>
      </c>
      <c r="D51" s="145">
        <f>D52/D50*10</f>
        <v>154.2766391892914</v>
      </c>
      <c r="E51" s="134">
        <f>E52/E50*10</f>
        <v>155</v>
      </c>
      <c r="F51" s="140">
        <f>+F52/F50*10</f>
        <v>163</v>
      </c>
      <c r="G51" s="140">
        <f>+G52/G50*10</f>
        <v>155.30343007915567</v>
      </c>
      <c r="H51" s="54">
        <f>+G51/D51*100</f>
        <v>100.66555176160175</v>
      </c>
      <c r="I51" s="54">
        <f>+G51/E51*100</f>
        <v>100.19576134139076</v>
      </c>
      <c r="J51" s="101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ht="15">
      <c r="A52" s="48"/>
      <c r="B52" s="58" t="s">
        <v>29</v>
      </c>
      <c r="C52" s="36" t="s">
        <v>23</v>
      </c>
      <c r="D52" s="146">
        <v>6120</v>
      </c>
      <c r="E52" s="143">
        <v>6975</v>
      </c>
      <c r="F52" s="64">
        <f>+F50*16.3</f>
        <v>988.9210000000003</v>
      </c>
      <c r="G52" s="64">
        <v>5886</v>
      </c>
      <c r="H52" s="54">
        <f>+G52/D52*100</f>
        <v>96.17647058823529</v>
      </c>
      <c r="I52" s="54">
        <f>+G52/E52*100</f>
        <v>84.38709677419355</v>
      </c>
      <c r="J52" s="101"/>
      <c r="K52" s="30"/>
      <c r="L52" s="30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ht="15">
      <c r="A53" s="48" t="s">
        <v>93</v>
      </c>
      <c r="B53" s="40" t="s">
        <v>31</v>
      </c>
      <c r="C53" s="36" t="s">
        <v>10</v>
      </c>
      <c r="D53" s="147">
        <f>+D55+D60</f>
        <v>3085.0499999999997</v>
      </c>
      <c r="E53" s="148">
        <f>+E55+E60</f>
        <v>32400</v>
      </c>
      <c r="F53" s="148">
        <f>+F55+F60</f>
        <v>3101.2999999999997</v>
      </c>
      <c r="G53" s="148">
        <f>+G55+G60</f>
        <v>3101.2999999999997</v>
      </c>
      <c r="H53" s="53">
        <f>+G53/D53*100</f>
        <v>100.52673376444466</v>
      </c>
      <c r="I53" s="53">
        <f>+G53/E53*100</f>
        <v>9.571913580246912</v>
      </c>
      <c r="J53" s="100"/>
      <c r="K53" s="30"/>
      <c r="M53" s="10"/>
      <c r="N53" s="30"/>
      <c r="O53" s="29"/>
      <c r="P53" s="29"/>
      <c r="Q53" s="29"/>
      <c r="R53" s="29"/>
      <c r="S53" s="28"/>
      <c r="T53" s="28"/>
      <c r="U53" s="28"/>
      <c r="V53" s="28"/>
    </row>
    <row r="54" spans="1:22" ht="15">
      <c r="A54" s="48"/>
      <c r="B54" s="40" t="s">
        <v>32</v>
      </c>
      <c r="C54" s="36"/>
      <c r="D54" s="149"/>
      <c r="E54" s="143"/>
      <c r="F54" s="148"/>
      <c r="G54" s="64"/>
      <c r="H54" s="54"/>
      <c r="I54" s="54"/>
      <c r="J54" s="101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ht="15">
      <c r="A55" s="48"/>
      <c r="B55" s="59" t="s">
        <v>33</v>
      </c>
      <c r="C55" s="36" t="s">
        <v>10</v>
      </c>
      <c r="D55" s="150">
        <f>2925.95+137</f>
        <v>3062.95</v>
      </c>
      <c r="E55" s="112">
        <v>31900</v>
      </c>
      <c r="F55" s="151">
        <v>3075.6</v>
      </c>
      <c r="G55" s="131">
        <f>F55</f>
        <v>3075.6</v>
      </c>
      <c r="H55" s="54">
        <f>+G55/D55*100</f>
        <v>100.41300053869635</v>
      </c>
      <c r="I55" s="54">
        <f>+G55/E55*100</f>
        <v>9.641379310344828</v>
      </c>
      <c r="J55" s="101"/>
      <c r="K55" s="29"/>
      <c r="L55" s="29"/>
      <c r="M55" s="3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15">
      <c r="A56" s="48"/>
      <c r="B56" s="55" t="s">
        <v>27</v>
      </c>
      <c r="C56" s="56" t="s">
        <v>22</v>
      </c>
      <c r="D56" s="152">
        <v>30287.13</v>
      </c>
      <c r="E56" s="112">
        <f>+E55</f>
        <v>31900</v>
      </c>
      <c r="F56" s="69">
        <f>+G56-27175.6</f>
        <v>3370.4000000000015</v>
      </c>
      <c r="G56" s="140">
        <v>30546</v>
      </c>
      <c r="H56" s="54">
        <f>+G56/D56*100</f>
        <v>100.85471947985826</v>
      </c>
      <c r="I56" s="54">
        <f>+G56/E56*100</f>
        <v>95.75548589341693</v>
      </c>
      <c r="J56" s="101"/>
      <c r="K56" s="10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ht="15">
      <c r="A57" s="48"/>
      <c r="B57" s="55" t="s">
        <v>28</v>
      </c>
      <c r="C57" s="36" t="s">
        <v>15</v>
      </c>
      <c r="D57" s="153">
        <f>D58/D56*10</f>
        <v>223.83434812080247</v>
      </c>
      <c r="E57" s="154">
        <f>E58/E56*10</f>
        <v>233</v>
      </c>
      <c r="F57" s="155">
        <f>+F58/F56*10</f>
        <v>227.89999999999998</v>
      </c>
      <c r="G57" s="156">
        <f>+G58/G56*10</f>
        <v>221.5651803836836</v>
      </c>
      <c r="H57" s="54">
        <f>+G57/D57*100</f>
        <v>98.9862289875662</v>
      </c>
      <c r="I57" s="54">
        <f>+G57/E57*100</f>
        <v>95.09235209600155</v>
      </c>
      <c r="J57" s="101"/>
      <c r="K57" s="28"/>
      <c r="L57" s="28"/>
      <c r="M57" s="4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15">
      <c r="A58" s="48"/>
      <c r="B58" s="55" t="s">
        <v>29</v>
      </c>
      <c r="C58" s="56" t="s">
        <v>23</v>
      </c>
      <c r="D58" s="157">
        <v>677930</v>
      </c>
      <c r="E58" s="112">
        <v>743270</v>
      </c>
      <c r="F58" s="69">
        <f>+F56*22.79</f>
        <v>76811.41600000003</v>
      </c>
      <c r="G58" s="64">
        <v>676793</v>
      </c>
      <c r="H58" s="54">
        <f>+G58/D58*100</f>
        <v>99.83228356910006</v>
      </c>
      <c r="I58" s="54">
        <f>+G58/E58*100</f>
        <v>91.05614379700513</v>
      </c>
      <c r="J58" s="101"/>
      <c r="K58" s="30"/>
      <c r="L58" s="30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ht="15">
      <c r="A59" s="48"/>
      <c r="B59" s="55" t="s">
        <v>34</v>
      </c>
      <c r="C59" s="56"/>
      <c r="D59" s="135"/>
      <c r="E59" s="112"/>
      <c r="F59" s="69"/>
      <c r="G59" s="64"/>
      <c r="H59" s="54"/>
      <c r="I59" s="54"/>
      <c r="J59" s="101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15">
      <c r="A60" s="48"/>
      <c r="B60" s="59" t="s">
        <v>33</v>
      </c>
      <c r="C60" s="36" t="s">
        <v>10</v>
      </c>
      <c r="D60" s="150">
        <v>22.1</v>
      </c>
      <c r="E60" s="112">
        <v>500</v>
      </c>
      <c r="F60" s="158">
        <v>25.7</v>
      </c>
      <c r="G60" s="131">
        <f>F60</f>
        <v>25.7</v>
      </c>
      <c r="H60" s="54">
        <f>+G60/D60*100</f>
        <v>116.28959276018098</v>
      </c>
      <c r="I60" s="54">
        <f>+G60/E60*100</f>
        <v>5.140000000000001</v>
      </c>
      <c r="J60" s="101"/>
      <c r="K60" s="28"/>
      <c r="L60" s="28"/>
      <c r="M60" s="5"/>
      <c r="N60" s="28"/>
      <c r="O60" s="28"/>
      <c r="P60" s="28"/>
      <c r="Q60" s="28"/>
      <c r="R60" s="28"/>
      <c r="S60" s="28"/>
      <c r="T60" s="28"/>
      <c r="U60" s="28"/>
      <c r="V60" s="28"/>
    </row>
    <row r="61" spans="1:22" ht="15">
      <c r="A61" s="48"/>
      <c r="B61" s="59" t="s">
        <v>27</v>
      </c>
      <c r="C61" s="36" t="s">
        <v>22</v>
      </c>
      <c r="D61" s="152">
        <v>465</v>
      </c>
      <c r="E61" s="112">
        <f>+E60</f>
        <v>500</v>
      </c>
      <c r="F61" s="69">
        <f>+G61-398.42</f>
        <v>52.19999999999999</v>
      </c>
      <c r="G61" s="133">
        <v>450.62</v>
      </c>
      <c r="H61" s="54">
        <f>+G61/D61*100</f>
        <v>96.90752688172043</v>
      </c>
      <c r="I61" s="54">
        <f>+G61/E61*100</f>
        <v>90.12400000000001</v>
      </c>
      <c r="J61" s="101"/>
      <c r="K61" s="28"/>
      <c r="L61" s="28"/>
      <c r="M61" s="28"/>
      <c r="N61" s="8"/>
      <c r="O61" s="8"/>
      <c r="P61" s="8"/>
      <c r="Q61" s="8"/>
      <c r="R61" s="8"/>
      <c r="S61" s="28"/>
      <c r="T61" s="28"/>
      <c r="U61" s="28"/>
      <c r="V61" s="28"/>
    </row>
    <row r="62" spans="1:22" ht="15">
      <c r="A62" s="48"/>
      <c r="B62" s="55" t="s">
        <v>28</v>
      </c>
      <c r="C62" s="36" t="s">
        <v>15</v>
      </c>
      <c r="D62" s="153">
        <f>D63/D61*10</f>
        <v>20.451612903225804</v>
      </c>
      <c r="E62" s="154">
        <f>E63/E61*10</f>
        <v>20</v>
      </c>
      <c r="F62" s="140">
        <f>+F63/F61*10</f>
        <v>17.8</v>
      </c>
      <c r="G62" s="133">
        <v>17.81</v>
      </c>
      <c r="H62" s="54">
        <f>+G62/D62*100</f>
        <v>87.08359621451103</v>
      </c>
      <c r="I62" s="54">
        <f>+G62/E62*100</f>
        <v>89.05</v>
      </c>
      <c r="J62" s="101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spans="1:22" ht="15">
      <c r="A63" s="48"/>
      <c r="B63" s="58" t="s">
        <v>29</v>
      </c>
      <c r="C63" s="36" t="s">
        <v>23</v>
      </c>
      <c r="D63" s="157">
        <v>951</v>
      </c>
      <c r="E63" s="112">
        <v>1000</v>
      </c>
      <c r="F63" s="69">
        <f>+F61*1.78</f>
        <v>92.91599999999998</v>
      </c>
      <c r="G63" s="64">
        <v>843</v>
      </c>
      <c r="H63" s="54">
        <f>+G63/D63*100</f>
        <v>88.64353312302839</v>
      </c>
      <c r="I63" s="54">
        <f>+G63/E63*100</f>
        <v>84.3</v>
      </c>
      <c r="J63" s="101"/>
      <c r="K63" s="30"/>
      <c r="L63" s="30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1:22" ht="15">
      <c r="A64" s="60" t="s">
        <v>94</v>
      </c>
      <c r="B64" s="40" t="s">
        <v>35</v>
      </c>
      <c r="C64" s="36" t="s">
        <v>36</v>
      </c>
      <c r="D64" s="147">
        <f>+D66+D71+D76+D81</f>
        <v>922.1</v>
      </c>
      <c r="E64" s="148">
        <f>+E66+E71+E76+E81</f>
        <v>14200</v>
      </c>
      <c r="F64" s="148">
        <f>+F66+F71+F76+F81</f>
        <v>934.4</v>
      </c>
      <c r="G64" s="148">
        <f>+G66+G71+G76+G81</f>
        <v>934.4</v>
      </c>
      <c r="H64" s="53">
        <f>+G64/D64*100</f>
        <v>101.33391172324042</v>
      </c>
      <c r="I64" s="53">
        <f>+G64/E64*100</f>
        <v>6.580281690140845</v>
      </c>
      <c r="J64" s="100"/>
      <c r="K64" s="28"/>
      <c r="L64" s="28"/>
      <c r="M64" s="28"/>
      <c r="N64" s="29"/>
      <c r="O64" s="29"/>
      <c r="P64" s="29"/>
      <c r="Q64" s="29"/>
      <c r="R64" s="29"/>
      <c r="S64" s="28"/>
      <c r="T64" s="28"/>
      <c r="U64" s="28"/>
      <c r="V64" s="28"/>
    </row>
    <row r="65" spans="1:22" ht="15">
      <c r="A65" s="48"/>
      <c r="B65" s="40" t="s">
        <v>37</v>
      </c>
      <c r="C65" s="61"/>
      <c r="D65" s="159"/>
      <c r="E65" s="160"/>
      <c r="F65" s="160"/>
      <c r="G65" s="64"/>
      <c r="H65" s="53"/>
      <c r="I65" s="54"/>
      <c r="J65" s="101"/>
      <c r="K65" s="28"/>
      <c r="L65" s="28"/>
      <c r="M65" s="28"/>
      <c r="N65" s="2"/>
      <c r="O65" s="2"/>
      <c r="P65" s="2"/>
      <c r="Q65" s="2"/>
      <c r="R65" s="2"/>
      <c r="S65" s="6"/>
      <c r="T65" s="28"/>
      <c r="U65" s="28"/>
      <c r="V65" s="28"/>
    </row>
    <row r="66" spans="1:22" ht="15">
      <c r="A66" s="48"/>
      <c r="B66" s="55" t="s">
        <v>26</v>
      </c>
      <c r="C66" s="36" t="s">
        <v>10</v>
      </c>
      <c r="D66" s="128">
        <v>526.75</v>
      </c>
      <c r="E66" s="129">
        <v>4600</v>
      </c>
      <c r="F66" s="161">
        <v>511.9</v>
      </c>
      <c r="G66" s="131">
        <f>F66</f>
        <v>511.9</v>
      </c>
      <c r="H66" s="54">
        <f>+G66/D66*100</f>
        <v>97.18082581869957</v>
      </c>
      <c r="I66" s="54">
        <f>+G66/E66*100</f>
        <v>11.128260869565217</v>
      </c>
      <c r="J66" s="101"/>
      <c r="K66" s="105"/>
      <c r="L66" s="28"/>
      <c r="M66" s="2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15">
      <c r="A67" s="48"/>
      <c r="B67" s="55" t="s">
        <v>27</v>
      </c>
      <c r="C67" s="56" t="s">
        <v>22</v>
      </c>
      <c r="D67" s="157">
        <v>4234</v>
      </c>
      <c r="E67" s="129">
        <f>+E66</f>
        <v>4600</v>
      </c>
      <c r="F67" s="64">
        <f>+G67-4057.5</f>
        <v>209.5</v>
      </c>
      <c r="G67" s="140">
        <v>4267</v>
      </c>
      <c r="H67" s="54">
        <f>+G67/D67*100</f>
        <v>100.77940481813887</v>
      </c>
      <c r="I67" s="54">
        <f>+G67/E67*100</f>
        <v>92.76086956521739</v>
      </c>
      <c r="J67" s="101"/>
      <c r="K67" s="105"/>
      <c r="L67" s="28"/>
      <c r="M67" s="2"/>
      <c r="N67" s="28"/>
      <c r="O67" s="28"/>
      <c r="P67" s="28"/>
      <c r="Q67" s="28"/>
      <c r="R67" s="28"/>
      <c r="S67" s="28"/>
      <c r="T67" s="28"/>
      <c r="U67" s="28"/>
      <c r="V67" s="28"/>
    </row>
    <row r="68" spans="1:22" ht="15">
      <c r="A68" s="48"/>
      <c r="B68" s="55" t="s">
        <v>28</v>
      </c>
      <c r="C68" s="36" t="s">
        <v>15</v>
      </c>
      <c r="D68" s="162">
        <f>+D69/D67*10</f>
        <v>50.82664147378366</v>
      </c>
      <c r="E68" s="134">
        <f>+E69/E67*10</f>
        <v>53.5</v>
      </c>
      <c r="F68" s="133">
        <f>+F69/F67*10</f>
        <v>54.000000000000014</v>
      </c>
      <c r="G68" s="133">
        <f>+G69/G67*10</f>
        <v>52.79821888914928</v>
      </c>
      <c r="H68" s="54">
        <f>+G68/D68*100</f>
        <v>103.87902359510133</v>
      </c>
      <c r="I68" s="54">
        <f>+G68/E68*100</f>
        <v>98.68825960588651</v>
      </c>
      <c r="J68" s="101"/>
      <c r="K68" s="28"/>
      <c r="L68" s="28"/>
      <c r="M68" s="2"/>
      <c r="N68" s="28"/>
      <c r="O68" s="28"/>
      <c r="P68" s="28"/>
      <c r="Q68" s="28"/>
      <c r="R68" s="28"/>
      <c r="S68" s="28"/>
      <c r="T68" s="28"/>
      <c r="U68" s="28"/>
      <c r="V68" s="28"/>
    </row>
    <row r="69" spans="1:22" ht="15">
      <c r="A69" s="48"/>
      <c r="B69" s="58" t="s">
        <v>29</v>
      </c>
      <c r="C69" s="36" t="s">
        <v>23</v>
      </c>
      <c r="D69" s="157">
        <v>21520</v>
      </c>
      <c r="E69" s="112">
        <v>24610</v>
      </c>
      <c r="F69" s="64">
        <f>+F67*5.4</f>
        <v>1131.3000000000002</v>
      </c>
      <c r="G69" s="64">
        <v>22529</v>
      </c>
      <c r="H69" s="54">
        <f>+G69/D69*100</f>
        <v>104.68866171003717</v>
      </c>
      <c r="I69" s="54">
        <f>+G69/E69*100</f>
        <v>91.5440877691995</v>
      </c>
      <c r="J69" s="101"/>
      <c r="K69" s="30"/>
      <c r="L69" s="30"/>
      <c r="M69" s="2"/>
      <c r="N69" s="6"/>
      <c r="O69" s="6"/>
      <c r="P69" s="6"/>
      <c r="Q69" s="6"/>
      <c r="R69" s="6"/>
      <c r="S69" s="28"/>
      <c r="T69" s="28"/>
      <c r="U69" s="28"/>
      <c r="V69" s="28"/>
    </row>
    <row r="70" spans="1:22" ht="15">
      <c r="A70" s="48"/>
      <c r="B70" s="40" t="s">
        <v>38</v>
      </c>
      <c r="C70" s="36"/>
      <c r="D70" s="135"/>
      <c r="E70" s="112"/>
      <c r="F70" s="64"/>
      <c r="G70" s="64"/>
      <c r="H70" s="54"/>
      <c r="I70" s="54"/>
      <c r="J70" s="101"/>
      <c r="K70" s="28"/>
      <c r="L70" s="28"/>
      <c r="M70" s="2"/>
      <c r="N70" s="6"/>
      <c r="O70" s="6"/>
      <c r="P70" s="6"/>
      <c r="Q70" s="6"/>
      <c r="R70" s="6"/>
      <c r="S70" s="28"/>
      <c r="T70" s="28"/>
      <c r="U70" s="28"/>
      <c r="V70" s="28"/>
    </row>
    <row r="71" spans="1:22" ht="15">
      <c r="A71" s="48"/>
      <c r="B71" s="55" t="s">
        <v>39</v>
      </c>
      <c r="C71" s="36" t="s">
        <v>10</v>
      </c>
      <c r="D71" s="128">
        <v>14.2</v>
      </c>
      <c r="E71" s="129">
        <v>1100</v>
      </c>
      <c r="F71" s="161">
        <v>12.9</v>
      </c>
      <c r="G71" s="131">
        <f>F71</f>
        <v>12.9</v>
      </c>
      <c r="H71" s="54">
        <f>+G71/D71*100</f>
        <v>90.84507042253523</v>
      </c>
      <c r="I71" s="54">
        <f>+G71/E71*100</f>
        <v>1.1727272727272726</v>
      </c>
      <c r="J71" s="101"/>
      <c r="K71" s="28"/>
      <c r="L71" s="28"/>
      <c r="M71" s="2"/>
      <c r="N71" s="6"/>
      <c r="O71" s="6"/>
      <c r="P71" s="6"/>
      <c r="Q71" s="6"/>
      <c r="R71" s="6"/>
      <c r="S71" s="28"/>
      <c r="T71" s="28"/>
      <c r="U71" s="28"/>
      <c r="V71" s="28"/>
    </row>
    <row r="72" spans="1:22" ht="15">
      <c r="A72" s="48"/>
      <c r="B72" s="55" t="s">
        <v>27</v>
      </c>
      <c r="C72" s="56" t="s">
        <v>22</v>
      </c>
      <c r="D72" s="132">
        <v>1688.92</v>
      </c>
      <c r="E72" s="129">
        <f>+E71</f>
        <v>1100</v>
      </c>
      <c r="F72" s="64">
        <f>+G72-1237.12</f>
        <v>132.8800000000001</v>
      </c>
      <c r="G72" s="140">
        <v>1370</v>
      </c>
      <c r="H72" s="54">
        <f>+G72/D72*100</f>
        <v>81.1169267934538</v>
      </c>
      <c r="I72" s="54">
        <f>+G72/E72*100</f>
        <v>124.54545454545453</v>
      </c>
      <c r="J72" s="101"/>
      <c r="K72" s="105"/>
      <c r="L72" s="28"/>
      <c r="M72" s="29"/>
      <c r="N72" s="28"/>
      <c r="O72" s="28"/>
      <c r="P72" s="28"/>
      <c r="Q72" s="28"/>
      <c r="R72" s="28"/>
      <c r="S72" s="28"/>
      <c r="T72" s="28"/>
      <c r="U72" s="28"/>
      <c r="V72" s="28"/>
    </row>
    <row r="73" spans="1:22" ht="15">
      <c r="A73" s="48"/>
      <c r="B73" s="55" t="s">
        <v>40</v>
      </c>
      <c r="C73" s="36" t="s">
        <v>15</v>
      </c>
      <c r="D73" s="162">
        <f>+D74/D72*10</f>
        <v>970.1466025625843</v>
      </c>
      <c r="E73" s="129">
        <f>+E74/E72*10</f>
        <v>970</v>
      </c>
      <c r="F73" s="163">
        <f>+F74/F72*10</f>
        <v>905.6</v>
      </c>
      <c r="G73" s="163">
        <f>+G74/G72*10</f>
        <v>968.0875912408759</v>
      </c>
      <c r="H73" s="54">
        <f>+G73/D73*100</f>
        <v>99.78776286838817</v>
      </c>
      <c r="I73" s="54">
        <f>+G73/E73*100</f>
        <v>99.80284445782226</v>
      </c>
      <c r="J73" s="101"/>
      <c r="K73" s="28"/>
      <c r="L73" s="28"/>
      <c r="M73" s="29"/>
      <c r="N73" s="28"/>
      <c r="O73" s="28"/>
      <c r="P73" s="28"/>
      <c r="Q73" s="28"/>
      <c r="R73" s="28"/>
      <c r="S73" s="28"/>
      <c r="T73" s="28"/>
      <c r="U73" s="28"/>
      <c r="V73" s="28"/>
    </row>
    <row r="74" spans="1:22" ht="15">
      <c r="A74" s="48"/>
      <c r="B74" s="58" t="s">
        <v>29</v>
      </c>
      <c r="C74" s="36" t="s">
        <v>23</v>
      </c>
      <c r="D74" s="135">
        <v>163850</v>
      </c>
      <c r="E74" s="112">
        <v>106700</v>
      </c>
      <c r="F74" s="64">
        <f>+F72*90.56</f>
        <v>12033.61280000001</v>
      </c>
      <c r="G74" s="64">
        <v>132628</v>
      </c>
      <c r="H74" s="54">
        <f>+G74/D74*100</f>
        <v>80.94476655477571</v>
      </c>
      <c r="I74" s="54">
        <f>+G74/E74*100</f>
        <v>124.29990627928773</v>
      </c>
      <c r="J74" s="101"/>
      <c r="K74" s="30"/>
      <c r="L74" s="30"/>
      <c r="M74" s="29"/>
      <c r="N74" s="28"/>
      <c r="O74" s="28"/>
      <c r="P74" s="28"/>
      <c r="Q74" s="28"/>
      <c r="R74" s="28"/>
      <c r="S74" s="28"/>
      <c r="T74" s="28"/>
      <c r="U74" s="28"/>
      <c r="V74" s="28"/>
    </row>
    <row r="75" spans="1:22" ht="15">
      <c r="A75" s="48"/>
      <c r="B75" s="49" t="s">
        <v>41</v>
      </c>
      <c r="C75" s="36"/>
      <c r="D75" s="135"/>
      <c r="E75" s="112"/>
      <c r="F75" s="76"/>
      <c r="G75" s="64"/>
      <c r="H75" s="54"/>
      <c r="I75" s="54"/>
      <c r="J75" s="101"/>
      <c r="K75" s="28"/>
      <c r="L75" s="28"/>
      <c r="M75" s="3"/>
      <c r="N75" s="28"/>
      <c r="O75" s="28"/>
      <c r="P75" s="28"/>
      <c r="Q75" s="28"/>
      <c r="R75" s="28"/>
      <c r="S75" s="28"/>
      <c r="T75" s="28"/>
      <c r="U75" s="28"/>
      <c r="V75" s="28"/>
    </row>
    <row r="76" spans="1:22" ht="15">
      <c r="A76" s="48"/>
      <c r="B76" s="55" t="s">
        <v>26</v>
      </c>
      <c r="C76" s="36" t="s">
        <v>10</v>
      </c>
      <c r="D76" s="128">
        <v>131</v>
      </c>
      <c r="E76" s="112">
        <v>2800</v>
      </c>
      <c r="F76" s="76">
        <v>117</v>
      </c>
      <c r="G76" s="131">
        <f>F76</f>
        <v>117</v>
      </c>
      <c r="H76" s="54">
        <f>+G76/D76*100</f>
        <v>89.31297709923665</v>
      </c>
      <c r="I76" s="54">
        <f>+G76/E76*100</f>
        <v>4.178571428571429</v>
      </c>
      <c r="J76" s="101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</row>
    <row r="77" spans="1:22" ht="15">
      <c r="A77" s="48"/>
      <c r="B77" s="55" t="s">
        <v>27</v>
      </c>
      <c r="C77" s="56" t="s">
        <v>22</v>
      </c>
      <c r="D77" s="152">
        <v>2463.12</v>
      </c>
      <c r="E77" s="129">
        <f>+E76</f>
        <v>2800</v>
      </c>
      <c r="F77" s="64">
        <f>+G77-2065.3</f>
        <v>417.6999999999998</v>
      </c>
      <c r="G77" s="140">
        <v>2483</v>
      </c>
      <c r="H77" s="54">
        <f>+G77/D77*100</f>
        <v>100.80710643411608</v>
      </c>
      <c r="I77" s="54">
        <f>+G77/E77*100</f>
        <v>88.67857142857143</v>
      </c>
      <c r="J77" s="101"/>
      <c r="K77" s="105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5">
      <c r="A78" s="48"/>
      <c r="B78" s="55" t="s">
        <v>28</v>
      </c>
      <c r="C78" s="36" t="s">
        <v>15</v>
      </c>
      <c r="D78" s="162">
        <f>+D79/D77*10</f>
        <v>120.46916106401638</v>
      </c>
      <c r="E78" s="134">
        <f>+E79/E77*10</f>
        <v>117</v>
      </c>
      <c r="F78" s="133">
        <f>+F79/F77*10</f>
        <v>117.89999999999999</v>
      </c>
      <c r="G78" s="133">
        <f>+G79/G77*10</f>
        <v>119.97583568264197</v>
      </c>
      <c r="H78" s="54">
        <f>+G78/D78*100</f>
        <v>99.59049654117517</v>
      </c>
      <c r="I78" s="54">
        <f>+G78/E78*100</f>
        <v>102.5434493014034</v>
      </c>
      <c r="J78" s="101"/>
      <c r="K78" s="28"/>
      <c r="L78" s="28"/>
      <c r="M78" s="8"/>
      <c r="N78" s="28"/>
      <c r="O78" s="28"/>
      <c r="P78" s="28"/>
      <c r="Q78" s="28"/>
      <c r="R78" s="28"/>
      <c r="S78" s="28"/>
      <c r="T78" s="28"/>
      <c r="U78" s="28"/>
      <c r="V78" s="28"/>
    </row>
    <row r="79" spans="1:22" ht="15">
      <c r="A79" s="48"/>
      <c r="B79" s="58" t="s">
        <v>29</v>
      </c>
      <c r="C79" s="36" t="s">
        <v>23</v>
      </c>
      <c r="D79" s="157">
        <v>29673</v>
      </c>
      <c r="E79" s="112">
        <v>32760</v>
      </c>
      <c r="F79" s="64">
        <f>+F77*11.79</f>
        <v>4924.682999999997</v>
      </c>
      <c r="G79" s="64">
        <v>29790</v>
      </c>
      <c r="H79" s="54">
        <f>+G79/D79*100</f>
        <v>100.39429784652714</v>
      </c>
      <c r="I79" s="54">
        <f>+G79/E79*100</f>
        <v>90.93406593406593</v>
      </c>
      <c r="J79" s="101"/>
      <c r="K79" s="30"/>
      <c r="L79" s="30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:22" ht="15">
      <c r="A80" s="48"/>
      <c r="B80" s="62" t="s">
        <v>42</v>
      </c>
      <c r="C80" s="63"/>
      <c r="D80" s="135"/>
      <c r="E80" s="164"/>
      <c r="F80" s="75"/>
      <c r="G80" s="64"/>
      <c r="H80" s="54"/>
      <c r="I80" s="54"/>
      <c r="J80" s="101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spans="1:22" ht="15">
      <c r="A81" s="48"/>
      <c r="B81" s="55" t="s">
        <v>26</v>
      </c>
      <c r="C81" s="63" t="s">
        <v>18</v>
      </c>
      <c r="D81" s="135">
        <v>250.15</v>
      </c>
      <c r="E81" s="112">
        <v>5700</v>
      </c>
      <c r="F81" s="140">
        <v>292.6</v>
      </c>
      <c r="G81" s="131">
        <f>F81</f>
        <v>292.6</v>
      </c>
      <c r="H81" s="54">
        <f>+G81/D81*100</f>
        <v>116.96981810913452</v>
      </c>
      <c r="I81" s="54">
        <f>+G81/E81*100</f>
        <v>5.133333333333334</v>
      </c>
      <c r="J81" s="101"/>
      <c r="K81" s="28"/>
      <c r="L81" s="28"/>
      <c r="M81" s="3"/>
      <c r="N81" s="28"/>
      <c r="O81" s="28"/>
      <c r="P81" s="28"/>
      <c r="Q81" s="28"/>
      <c r="R81" s="28"/>
      <c r="S81" s="28"/>
      <c r="T81" s="28"/>
      <c r="U81" s="28"/>
      <c r="V81" s="28"/>
    </row>
    <row r="82" spans="1:22" ht="15">
      <c r="A82" s="48"/>
      <c r="B82" s="55" t="s">
        <v>27</v>
      </c>
      <c r="C82" s="63" t="s">
        <v>18</v>
      </c>
      <c r="D82" s="132">
        <v>5622.28</v>
      </c>
      <c r="E82" s="112">
        <f>+E81</f>
        <v>5700</v>
      </c>
      <c r="F82" s="69">
        <f>+G82-4349.18</f>
        <v>1181.8199999999997</v>
      </c>
      <c r="G82" s="140">
        <v>5531</v>
      </c>
      <c r="H82" s="54">
        <f>+G82/D82*100</f>
        <v>98.37645937235429</v>
      </c>
      <c r="I82" s="54">
        <f>+G82/E82*100</f>
        <v>97.03508771929825</v>
      </c>
      <c r="J82" s="101"/>
      <c r="K82" s="105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spans="1:22" ht="15">
      <c r="A83" s="48"/>
      <c r="B83" s="58" t="s">
        <v>29</v>
      </c>
      <c r="C83" s="36" t="s">
        <v>23</v>
      </c>
      <c r="D83" s="135">
        <v>373616</v>
      </c>
      <c r="E83" s="112">
        <v>381900</v>
      </c>
      <c r="F83" s="69">
        <f>+F82*69.12</f>
        <v>81687.39839999999</v>
      </c>
      <c r="G83" s="69">
        <v>375206</v>
      </c>
      <c r="H83" s="54">
        <f>+G83/D83*100</f>
        <v>100.42557063937305</v>
      </c>
      <c r="I83" s="54">
        <f>+G83/E83*100</f>
        <v>98.2471851269966</v>
      </c>
      <c r="J83" s="101"/>
      <c r="K83" s="30"/>
      <c r="L83" s="30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ht="15">
      <c r="A84" s="50" t="s">
        <v>43</v>
      </c>
      <c r="B84" s="89" t="s">
        <v>98</v>
      </c>
      <c r="C84" s="68"/>
      <c r="D84" s="85"/>
      <c r="E84" s="69"/>
      <c r="F84" s="69"/>
      <c r="G84" s="69"/>
      <c r="H84" s="54"/>
      <c r="I84" s="54"/>
      <c r="J84" s="101"/>
      <c r="K84" s="28"/>
      <c r="L84" s="28"/>
      <c r="M84" s="28"/>
      <c r="N84" s="29"/>
      <c r="O84" s="29"/>
      <c r="P84" s="29"/>
      <c r="Q84" s="29"/>
      <c r="R84" s="29"/>
      <c r="S84" s="28"/>
      <c r="T84" s="28"/>
      <c r="U84" s="28"/>
      <c r="V84" s="28"/>
    </row>
    <row r="85" spans="1:22" ht="15">
      <c r="A85" s="60"/>
      <c r="B85" s="71" t="s">
        <v>99</v>
      </c>
      <c r="C85" s="38" t="s">
        <v>10</v>
      </c>
      <c r="D85" s="106">
        <v>99</v>
      </c>
      <c r="E85" s="112">
        <v>63</v>
      </c>
      <c r="F85" s="69"/>
      <c r="G85" s="69">
        <v>52</v>
      </c>
      <c r="H85" s="54">
        <f>+G85/D85*100</f>
        <v>52.52525252525253</v>
      </c>
      <c r="I85" s="54">
        <f>+G85/E85*100</f>
        <v>82.53968253968253</v>
      </c>
      <c r="J85" s="101"/>
      <c r="K85" s="28"/>
      <c r="L85" s="28"/>
      <c r="M85" s="29"/>
      <c r="N85" s="29"/>
      <c r="O85" s="29"/>
      <c r="P85" s="29"/>
      <c r="Q85" s="29"/>
      <c r="R85" s="29"/>
      <c r="S85" s="28"/>
      <c r="T85" s="28"/>
      <c r="U85" s="28"/>
      <c r="V85" s="28"/>
    </row>
    <row r="86" spans="1:22" ht="15">
      <c r="A86" s="60"/>
      <c r="B86" s="71" t="s">
        <v>100</v>
      </c>
      <c r="C86" s="38" t="s">
        <v>10</v>
      </c>
      <c r="D86" s="107">
        <v>338.32</v>
      </c>
      <c r="E86" s="112">
        <v>310</v>
      </c>
      <c r="F86" s="69"/>
      <c r="G86" s="93">
        <v>282.714</v>
      </c>
      <c r="H86" s="54">
        <f>+G86/D86*100</f>
        <v>83.56408134310712</v>
      </c>
      <c r="I86" s="54">
        <f>+G86/E86*100</f>
        <v>91.19806451612902</v>
      </c>
      <c r="J86" s="101"/>
      <c r="K86" s="28"/>
      <c r="L86" s="28"/>
      <c r="M86" s="28"/>
      <c r="N86" s="29"/>
      <c r="O86" s="29"/>
      <c r="P86" s="29"/>
      <c r="Q86" s="29"/>
      <c r="R86" s="29"/>
      <c r="S86" s="28"/>
      <c r="T86" s="28"/>
      <c r="U86" s="28"/>
      <c r="V86" s="28"/>
    </row>
    <row r="87" spans="1:22" ht="15">
      <c r="A87" s="60"/>
      <c r="B87" s="71" t="s">
        <v>101</v>
      </c>
      <c r="C87" s="38" t="s">
        <v>10</v>
      </c>
      <c r="D87" s="108">
        <v>5106.73</v>
      </c>
      <c r="E87" s="112">
        <v>3290</v>
      </c>
      <c r="F87" s="69"/>
      <c r="G87" s="69">
        <f>+E87</f>
        <v>3290</v>
      </c>
      <c r="H87" s="54">
        <f>+G87/D87*100</f>
        <v>64.42478846541721</v>
      </c>
      <c r="I87" s="54">
        <f>+G87/E87*100</f>
        <v>100</v>
      </c>
      <c r="J87" s="101"/>
      <c r="K87" s="28"/>
      <c r="L87" s="28"/>
      <c r="M87" s="28"/>
      <c r="N87" s="29"/>
      <c r="O87" s="29"/>
      <c r="P87" s="29"/>
      <c r="Q87" s="29"/>
      <c r="R87" s="29"/>
      <c r="S87" s="28"/>
      <c r="T87" s="28"/>
      <c r="U87" s="28"/>
      <c r="V87" s="28"/>
    </row>
    <row r="88" spans="1:10" ht="15">
      <c r="A88" s="50" t="s">
        <v>97</v>
      </c>
      <c r="B88" s="90" t="s">
        <v>47</v>
      </c>
      <c r="C88" s="51"/>
      <c r="D88" s="70"/>
      <c r="E88" s="113"/>
      <c r="F88" s="70"/>
      <c r="G88" s="70"/>
      <c r="H88" s="54"/>
      <c r="I88" s="54"/>
      <c r="J88" s="100"/>
    </row>
    <row r="89" spans="1:10" ht="15">
      <c r="A89" s="50" t="s">
        <v>44</v>
      </c>
      <c r="B89" s="165" t="s">
        <v>48</v>
      </c>
      <c r="C89" s="166" t="s">
        <v>10</v>
      </c>
      <c r="D89" s="167">
        <f>D90+D97</f>
        <v>61010.64</v>
      </c>
      <c r="E89" s="167">
        <f>E90+E97</f>
        <v>57600</v>
      </c>
      <c r="F89" s="167">
        <f>F90+F97</f>
        <v>1220.4000000000015</v>
      </c>
      <c r="G89" s="167">
        <f>G90+G97</f>
        <v>56610.4</v>
      </c>
      <c r="H89" s="53">
        <f>+G89/D89*100</f>
        <v>92.7877498088858</v>
      </c>
      <c r="I89" s="53">
        <f>+G89/E89*100</f>
        <v>98.28194444444445</v>
      </c>
      <c r="J89" s="100"/>
    </row>
    <row r="90" spans="1:10" ht="15">
      <c r="A90" s="77" t="s">
        <v>79</v>
      </c>
      <c r="B90" s="165" t="s">
        <v>49</v>
      </c>
      <c r="C90" s="168" t="s">
        <v>45</v>
      </c>
      <c r="D90" s="75">
        <f>D91+D94</f>
        <v>3443.2299999999996</v>
      </c>
      <c r="E90" s="75">
        <f>E91+E94</f>
        <v>4200</v>
      </c>
      <c r="F90" s="75">
        <f>F91+F94</f>
        <v>464</v>
      </c>
      <c r="G90" s="75">
        <f>G91+G94</f>
        <v>4171.1</v>
      </c>
      <c r="H90" s="53">
        <f>+G90/D90*100</f>
        <v>121.13916293712592</v>
      </c>
      <c r="I90" s="53">
        <f>+G90/E90*100</f>
        <v>99.31190476190477</v>
      </c>
      <c r="J90" s="101"/>
    </row>
    <row r="91" spans="1:10" ht="15">
      <c r="A91" s="77"/>
      <c r="B91" s="169" t="s">
        <v>50</v>
      </c>
      <c r="C91" s="168" t="s">
        <v>45</v>
      </c>
      <c r="D91" s="159">
        <f>D92+D93+2061.45</f>
        <v>2611.2299999999996</v>
      </c>
      <c r="E91" s="159">
        <f>E92+E93+2410</f>
        <v>2900</v>
      </c>
      <c r="F91" s="159">
        <f>F92+F93+359</f>
        <v>410</v>
      </c>
      <c r="G91" s="159">
        <f>G92+G93+1812.9</f>
        <v>2441</v>
      </c>
      <c r="H91" s="54">
        <f aca="true" t="shared" si="0" ref="H91:H126">+G91/D91*100</f>
        <v>93.48085002087142</v>
      </c>
      <c r="I91" s="54">
        <f aca="true" t="shared" si="1" ref="I91:I126">+G91/E91*100</f>
        <v>84.17241379310344</v>
      </c>
      <c r="J91" s="101"/>
    </row>
    <row r="92" spans="1:12" ht="15">
      <c r="A92" s="170"/>
      <c r="B92" s="169" t="s">
        <v>126</v>
      </c>
      <c r="C92" s="168" t="s">
        <v>45</v>
      </c>
      <c r="D92" s="171">
        <v>12.98</v>
      </c>
      <c r="E92" s="171">
        <v>60</v>
      </c>
      <c r="F92" s="171">
        <v>4</v>
      </c>
      <c r="G92" s="171">
        <v>30.2</v>
      </c>
      <c r="H92" s="54">
        <f t="shared" si="0"/>
        <v>232.66563944530043</v>
      </c>
      <c r="I92" s="54">
        <f t="shared" si="1"/>
        <v>50.33333333333333</v>
      </c>
      <c r="J92" s="101"/>
      <c r="K92" s="27"/>
      <c r="L92" s="27"/>
    </row>
    <row r="93" spans="1:12" ht="15">
      <c r="A93" s="77"/>
      <c r="B93" s="71" t="s">
        <v>75</v>
      </c>
      <c r="C93" s="36" t="s">
        <v>45</v>
      </c>
      <c r="D93" s="171">
        <v>536.8</v>
      </c>
      <c r="E93" s="171">
        <v>430</v>
      </c>
      <c r="F93" s="171">
        <v>47</v>
      </c>
      <c r="G93" s="171">
        <v>597.9</v>
      </c>
      <c r="H93" s="54">
        <f t="shared" si="0"/>
        <v>111.38226527570791</v>
      </c>
      <c r="I93" s="54">
        <f t="shared" si="1"/>
        <v>139.04651162790697</v>
      </c>
      <c r="J93" s="101"/>
      <c r="K93" s="1"/>
      <c r="L93" s="1"/>
    </row>
    <row r="94" spans="1:10" ht="15">
      <c r="A94" s="77"/>
      <c r="B94" s="169" t="s">
        <v>51</v>
      </c>
      <c r="C94" s="168" t="s">
        <v>45</v>
      </c>
      <c r="D94" s="171">
        <v>832</v>
      </c>
      <c r="E94" s="171">
        <v>1300</v>
      </c>
      <c r="F94" s="171">
        <v>54</v>
      </c>
      <c r="G94" s="171">
        <v>1730.1</v>
      </c>
      <c r="H94" s="54">
        <f t="shared" si="0"/>
        <v>207.94471153846152</v>
      </c>
      <c r="I94" s="54">
        <f t="shared" si="1"/>
        <v>133.08461538461538</v>
      </c>
      <c r="J94" s="101"/>
    </row>
    <row r="95" spans="1:10" ht="15">
      <c r="A95" s="78"/>
      <c r="B95" s="169" t="s">
        <v>52</v>
      </c>
      <c r="C95" s="168" t="s">
        <v>45</v>
      </c>
      <c r="D95" s="171">
        <f>D94</f>
        <v>832</v>
      </c>
      <c r="E95" s="171">
        <f>E94</f>
        <v>1300</v>
      </c>
      <c r="F95" s="171">
        <f>F94</f>
        <v>54</v>
      </c>
      <c r="G95" s="171">
        <f>G94</f>
        <v>1730.1</v>
      </c>
      <c r="H95" s="54">
        <f t="shared" si="0"/>
        <v>207.94471153846152</v>
      </c>
      <c r="I95" s="54">
        <f t="shared" si="1"/>
        <v>133.08461538461538</v>
      </c>
      <c r="J95" s="101"/>
    </row>
    <row r="96" spans="1:10" ht="15">
      <c r="A96" s="170"/>
      <c r="B96" s="172" t="s">
        <v>53</v>
      </c>
      <c r="C96" s="173" t="s">
        <v>45</v>
      </c>
      <c r="D96" s="174"/>
      <c r="E96" s="174"/>
      <c r="F96" s="175"/>
      <c r="G96" s="175"/>
      <c r="H96" s="54"/>
      <c r="I96" s="54"/>
      <c r="J96" s="100"/>
    </row>
    <row r="97" spans="1:10" ht="15">
      <c r="A97" s="176" t="s">
        <v>24</v>
      </c>
      <c r="B97" s="177" t="s">
        <v>54</v>
      </c>
      <c r="C97" s="178" t="s">
        <v>10</v>
      </c>
      <c r="D97" s="179">
        <f>D98+D102</f>
        <v>57567.409999999996</v>
      </c>
      <c r="E97" s="179">
        <f>E98+E102</f>
        <v>53400</v>
      </c>
      <c r="F97" s="179">
        <f>F98+F102</f>
        <v>756.4000000000015</v>
      </c>
      <c r="G97" s="179">
        <f>G98+G102</f>
        <v>52439.3</v>
      </c>
      <c r="H97" s="53">
        <f>+G97/D97*100</f>
        <v>91.09199111094281</v>
      </c>
      <c r="I97" s="53">
        <f>+G97/E97*100</f>
        <v>98.20093632958802</v>
      </c>
      <c r="J97" s="101"/>
    </row>
    <row r="98" spans="1:10" ht="15">
      <c r="A98" s="77"/>
      <c r="B98" s="169" t="s">
        <v>51</v>
      </c>
      <c r="C98" s="168" t="s">
        <v>45</v>
      </c>
      <c r="D98" s="171">
        <f>D99+D100+D101</f>
        <v>57317.409999999996</v>
      </c>
      <c r="E98" s="171">
        <f>E99+E100+E101</f>
        <v>51500</v>
      </c>
      <c r="F98" s="171">
        <f>F99+F100+F101</f>
        <v>756.4000000000015</v>
      </c>
      <c r="G98" s="171">
        <f>G99+G100+G101</f>
        <v>51969.3</v>
      </c>
      <c r="H98" s="54">
        <f t="shared" si="0"/>
        <v>90.66930972631178</v>
      </c>
      <c r="I98" s="54">
        <f t="shared" si="1"/>
        <v>100.91126213592234</v>
      </c>
      <c r="J98" s="101"/>
    </row>
    <row r="99" spans="1:10" ht="15">
      <c r="A99" s="77"/>
      <c r="B99" s="169" t="s">
        <v>55</v>
      </c>
      <c r="C99" s="168" t="s">
        <v>45</v>
      </c>
      <c r="D99" s="171">
        <v>24889.6</v>
      </c>
      <c r="E99" s="171">
        <v>23000</v>
      </c>
      <c r="F99" s="159">
        <v>107</v>
      </c>
      <c r="G99" s="159">
        <v>21950</v>
      </c>
      <c r="H99" s="54">
        <f t="shared" si="0"/>
        <v>88.18944458729752</v>
      </c>
      <c r="I99" s="54">
        <f t="shared" si="1"/>
        <v>95.43478260869566</v>
      </c>
      <c r="J99" s="101"/>
    </row>
    <row r="100" spans="1:10" ht="15">
      <c r="A100" s="77"/>
      <c r="B100" s="169" t="s">
        <v>127</v>
      </c>
      <c r="C100" s="168" t="s">
        <v>45</v>
      </c>
      <c r="D100" s="171">
        <v>9177.81</v>
      </c>
      <c r="E100" s="171">
        <v>9500</v>
      </c>
      <c r="F100" s="159">
        <v>286</v>
      </c>
      <c r="G100" s="159">
        <v>7813.3</v>
      </c>
      <c r="H100" s="54">
        <f t="shared" si="0"/>
        <v>85.13250982532871</v>
      </c>
      <c r="I100" s="54">
        <f t="shared" si="1"/>
        <v>82.24526315789474</v>
      </c>
      <c r="J100" s="101"/>
    </row>
    <row r="101" spans="1:10" ht="15">
      <c r="A101" s="77"/>
      <c r="B101" s="169" t="s">
        <v>56</v>
      </c>
      <c r="C101" s="168" t="s">
        <v>45</v>
      </c>
      <c r="D101" s="64">
        <v>23250</v>
      </c>
      <c r="E101" s="64">
        <v>19000</v>
      </c>
      <c r="F101" s="13">
        <f>G101-21842.6</f>
        <v>363.40000000000146</v>
      </c>
      <c r="G101" s="13">
        <v>22206</v>
      </c>
      <c r="H101" s="54">
        <f t="shared" si="0"/>
        <v>95.50967741935484</v>
      </c>
      <c r="I101" s="54">
        <f t="shared" si="1"/>
        <v>116.8736842105263</v>
      </c>
      <c r="J101" s="103"/>
    </row>
    <row r="102" spans="1:21" ht="30">
      <c r="A102" s="77"/>
      <c r="B102" s="180" t="s">
        <v>76</v>
      </c>
      <c r="C102" s="168" t="s">
        <v>45</v>
      </c>
      <c r="D102" s="76">
        <v>250</v>
      </c>
      <c r="E102" s="76">
        <v>1900</v>
      </c>
      <c r="F102" s="86">
        <f>G102-470</f>
        <v>0</v>
      </c>
      <c r="G102" s="86">
        <v>470</v>
      </c>
      <c r="H102" s="67">
        <f t="shared" si="0"/>
        <v>188</v>
      </c>
      <c r="I102" s="67">
        <f t="shared" si="1"/>
        <v>24.736842105263158</v>
      </c>
      <c r="J102" s="100"/>
      <c r="K102" s="94"/>
      <c r="L102" s="30"/>
      <c r="M102" s="27"/>
      <c r="N102" s="27"/>
      <c r="O102" s="27"/>
      <c r="P102" s="27"/>
      <c r="Q102" s="27"/>
      <c r="R102" s="27"/>
      <c r="U102" s="14"/>
    </row>
    <row r="103" spans="1:19" ht="15">
      <c r="A103" s="181">
        <v>4</v>
      </c>
      <c r="B103" s="182" t="s">
        <v>58</v>
      </c>
      <c r="C103" s="38" t="s">
        <v>23</v>
      </c>
      <c r="D103" s="183">
        <f>+D104+D118</f>
        <v>228955.4</v>
      </c>
      <c r="E103" s="183">
        <f>E104+E118</f>
        <v>237580</v>
      </c>
      <c r="F103" s="183">
        <f>F104+F118</f>
        <v>13436</v>
      </c>
      <c r="G103" s="183">
        <f>G104+G118</f>
        <v>222527.09999999998</v>
      </c>
      <c r="H103" s="53">
        <f>+G103/D103*100</f>
        <v>97.19233527577859</v>
      </c>
      <c r="I103" s="53">
        <f>+G103/E103*100</f>
        <v>93.66407104975166</v>
      </c>
      <c r="J103" s="100"/>
      <c r="K103" s="94"/>
      <c r="L103" s="30"/>
      <c r="M103" s="27"/>
      <c r="N103" s="27"/>
      <c r="O103" s="27"/>
      <c r="P103" s="27"/>
      <c r="Q103" s="27"/>
      <c r="R103" s="27"/>
      <c r="S103" s="27"/>
    </row>
    <row r="104" spans="1:12" ht="15">
      <c r="A104" s="77" t="s">
        <v>59</v>
      </c>
      <c r="B104" s="184" t="s">
        <v>60</v>
      </c>
      <c r="C104" s="166" t="s">
        <v>23</v>
      </c>
      <c r="D104" s="185">
        <f>+D105+D112</f>
        <v>152926.81</v>
      </c>
      <c r="E104" s="185">
        <f>E105+E112</f>
        <v>158200</v>
      </c>
      <c r="F104" s="185">
        <f>F105+F112</f>
        <v>7731</v>
      </c>
      <c r="G104" s="185">
        <f>G105+G112</f>
        <v>151442.3</v>
      </c>
      <c r="H104" s="53">
        <f>+G104/D104*100</f>
        <v>99.02926766078491</v>
      </c>
      <c r="I104" s="53">
        <f>+G104/E104*100</f>
        <v>95.72838179519594</v>
      </c>
      <c r="J104" s="100"/>
      <c r="L104" s="30"/>
    </row>
    <row r="105" spans="1:13" ht="15">
      <c r="A105" s="50" t="s">
        <v>61</v>
      </c>
      <c r="B105" s="165" t="s">
        <v>49</v>
      </c>
      <c r="C105" s="166" t="s">
        <v>23</v>
      </c>
      <c r="D105" s="186">
        <f>+D106+D109+D111</f>
        <v>74610.55</v>
      </c>
      <c r="E105" s="186">
        <f>E106+E109+E111</f>
        <v>79700</v>
      </c>
      <c r="F105" s="186">
        <f>F106+F109+F111</f>
        <v>6676</v>
      </c>
      <c r="G105" s="186">
        <f>G106+G109+G111</f>
        <v>71447.3</v>
      </c>
      <c r="H105" s="53">
        <f>+G105/D105*100</f>
        <v>95.76031807834147</v>
      </c>
      <c r="I105" s="53">
        <f>+G105/E105*100</f>
        <v>89.64529485570891</v>
      </c>
      <c r="J105" s="101"/>
      <c r="K105" s="27"/>
      <c r="L105" s="30"/>
      <c r="M105" s="27"/>
    </row>
    <row r="106" spans="1:12" ht="15">
      <c r="A106" s="78"/>
      <c r="B106" s="169" t="s">
        <v>62</v>
      </c>
      <c r="C106" s="168" t="s">
        <v>45</v>
      </c>
      <c r="D106" s="64">
        <f>18277.97+D107+D108</f>
        <v>72577.91</v>
      </c>
      <c r="E106" s="64">
        <f>23000+E107+E108</f>
        <v>77300</v>
      </c>
      <c r="F106" s="64">
        <f>3813+F107+F108</f>
        <v>6274</v>
      </c>
      <c r="G106" s="64">
        <f>16208+G107+G108</f>
        <v>69609.3</v>
      </c>
      <c r="H106" s="54">
        <f t="shared" si="0"/>
        <v>95.90976097272572</v>
      </c>
      <c r="I106" s="54">
        <f t="shared" si="1"/>
        <v>90.05084087968952</v>
      </c>
      <c r="J106" s="101"/>
      <c r="K106" s="27"/>
      <c r="L106" s="27"/>
    </row>
    <row r="107" spans="1:13" ht="15">
      <c r="A107" s="77"/>
      <c r="B107" s="187" t="s">
        <v>108</v>
      </c>
      <c r="C107" s="188" t="s">
        <v>45</v>
      </c>
      <c r="D107" s="114">
        <v>4693.97</v>
      </c>
      <c r="E107" s="114">
        <v>6000</v>
      </c>
      <c r="F107" s="15">
        <v>0</v>
      </c>
      <c r="G107" s="15">
        <v>4343.7</v>
      </c>
      <c r="H107" s="54">
        <f t="shared" si="0"/>
        <v>92.53787305841324</v>
      </c>
      <c r="I107" s="54">
        <f t="shared" si="1"/>
        <v>72.395</v>
      </c>
      <c r="J107" s="101"/>
      <c r="K107" s="27"/>
      <c r="L107" s="27"/>
      <c r="M107" s="27"/>
    </row>
    <row r="108" spans="1:10" ht="15">
      <c r="A108" s="77"/>
      <c r="B108" s="79" t="s">
        <v>80</v>
      </c>
      <c r="C108" s="188"/>
      <c r="D108" s="114">
        <v>49605.97</v>
      </c>
      <c r="E108" s="114">
        <v>48300</v>
      </c>
      <c r="F108" s="15">
        <v>2461</v>
      </c>
      <c r="G108" s="15">
        <v>49057.6</v>
      </c>
      <c r="H108" s="54">
        <f t="shared" si="0"/>
        <v>98.89454837794725</v>
      </c>
      <c r="I108" s="54">
        <f t="shared" si="1"/>
        <v>101.56853002070395</v>
      </c>
      <c r="J108" s="101"/>
    </row>
    <row r="109" spans="1:18" ht="15">
      <c r="A109" s="77"/>
      <c r="B109" s="169" t="s">
        <v>63</v>
      </c>
      <c r="C109" s="168" t="s">
        <v>45</v>
      </c>
      <c r="D109" s="64">
        <v>2032.64</v>
      </c>
      <c r="E109" s="64">
        <v>2400</v>
      </c>
      <c r="F109" s="13">
        <v>402</v>
      </c>
      <c r="G109" s="13">
        <v>1838</v>
      </c>
      <c r="H109" s="54">
        <f t="shared" si="0"/>
        <v>90.4242758186398</v>
      </c>
      <c r="I109" s="54">
        <f t="shared" si="1"/>
        <v>76.58333333333334</v>
      </c>
      <c r="J109" s="101"/>
      <c r="K109" s="27"/>
      <c r="L109" s="27"/>
      <c r="M109" s="27"/>
      <c r="N109" s="27"/>
      <c r="O109" s="27"/>
      <c r="P109" s="27"/>
      <c r="Q109" s="27"/>
      <c r="R109" s="27"/>
    </row>
    <row r="110" spans="1:18" ht="15.75">
      <c r="A110" s="77"/>
      <c r="B110" s="169" t="s">
        <v>64</v>
      </c>
      <c r="C110" s="168" t="s">
        <v>45</v>
      </c>
      <c r="D110" s="64">
        <f>D109</f>
        <v>2032.64</v>
      </c>
      <c r="E110" s="64">
        <v>2400</v>
      </c>
      <c r="F110" s="13">
        <f>F109</f>
        <v>402</v>
      </c>
      <c r="G110" s="13">
        <f>+G109</f>
        <v>1838</v>
      </c>
      <c r="H110" s="54">
        <f t="shared" si="0"/>
        <v>90.4242758186398</v>
      </c>
      <c r="I110" s="54">
        <f t="shared" si="1"/>
        <v>76.58333333333334</v>
      </c>
      <c r="J110" s="101"/>
      <c r="N110" s="27"/>
      <c r="O110" s="27"/>
      <c r="P110" s="27"/>
      <c r="Q110" s="27"/>
      <c r="R110" s="27"/>
    </row>
    <row r="111" spans="1:10" s="31" customFormat="1" ht="15">
      <c r="A111" s="77"/>
      <c r="B111" s="169" t="s">
        <v>65</v>
      </c>
      <c r="C111" s="168" t="s">
        <v>45</v>
      </c>
      <c r="D111" s="171"/>
      <c r="E111" s="171"/>
      <c r="F111" s="159"/>
      <c r="G111" s="159"/>
      <c r="H111" s="54"/>
      <c r="I111" s="54"/>
      <c r="J111" s="100"/>
    </row>
    <row r="112" spans="1:10" ht="15">
      <c r="A112" s="83" t="s">
        <v>73</v>
      </c>
      <c r="B112" s="184" t="s">
        <v>54</v>
      </c>
      <c r="C112" s="189" t="s">
        <v>23</v>
      </c>
      <c r="D112" s="66">
        <f>+D113+D117</f>
        <v>78316.26000000001</v>
      </c>
      <c r="E112" s="66">
        <f>E113+E116+E117</f>
        <v>78500</v>
      </c>
      <c r="F112" s="66">
        <f>F113+F116+F117</f>
        <v>1055</v>
      </c>
      <c r="G112" s="66">
        <f>G113+G116+G117</f>
        <v>79995</v>
      </c>
      <c r="H112" s="53">
        <f>+G112/D112*100</f>
        <v>102.14353954083097</v>
      </c>
      <c r="I112" s="53">
        <f>+G112/E112*100</f>
        <v>101.90445859872612</v>
      </c>
      <c r="J112" s="101"/>
    </row>
    <row r="113" spans="1:12" ht="15">
      <c r="A113" s="77"/>
      <c r="B113" s="169" t="s">
        <v>77</v>
      </c>
      <c r="C113" s="168" t="s">
        <v>45</v>
      </c>
      <c r="D113" s="171">
        <f>+D114+D115+D116</f>
        <v>76808.82</v>
      </c>
      <c r="E113" s="171">
        <f>E114+E115</f>
        <v>69300</v>
      </c>
      <c r="F113" s="171">
        <f>F114+F115</f>
        <v>870</v>
      </c>
      <c r="G113" s="171">
        <f>G114+G115</f>
        <v>71340.7</v>
      </c>
      <c r="H113" s="54">
        <f t="shared" si="0"/>
        <v>92.88086967095704</v>
      </c>
      <c r="I113" s="54">
        <f t="shared" si="1"/>
        <v>102.94473304473304</v>
      </c>
      <c r="J113" s="101"/>
      <c r="K113" s="27"/>
      <c r="L113" s="27"/>
    </row>
    <row r="114" spans="1:13" ht="15.75">
      <c r="A114" s="77"/>
      <c r="B114" s="169" t="s">
        <v>66</v>
      </c>
      <c r="C114" s="168" t="s">
        <v>45</v>
      </c>
      <c r="D114" s="171">
        <v>13851</v>
      </c>
      <c r="E114" s="171">
        <v>12500</v>
      </c>
      <c r="F114" s="171">
        <v>372</v>
      </c>
      <c r="G114" s="171">
        <v>13146.1</v>
      </c>
      <c r="H114" s="54">
        <f t="shared" si="0"/>
        <v>94.91083676268862</v>
      </c>
      <c r="I114" s="54">
        <f t="shared" si="1"/>
        <v>105.16879999999999</v>
      </c>
      <c r="J114" s="101"/>
      <c r="K114" s="27"/>
      <c r="L114" s="27"/>
      <c r="M114" s="27"/>
    </row>
    <row r="115" spans="1:10" ht="15">
      <c r="A115" s="77"/>
      <c r="B115" s="169" t="s">
        <v>128</v>
      </c>
      <c r="C115" s="168" t="s">
        <v>45</v>
      </c>
      <c r="D115" s="171">
        <v>55994.58</v>
      </c>
      <c r="E115" s="171">
        <v>56800</v>
      </c>
      <c r="F115" s="171">
        <v>498</v>
      </c>
      <c r="G115" s="171">
        <v>58194.6</v>
      </c>
      <c r="H115" s="54">
        <f t="shared" si="0"/>
        <v>103.9289874127103</v>
      </c>
      <c r="I115" s="54">
        <f t="shared" si="1"/>
        <v>102.45528169014084</v>
      </c>
      <c r="J115" s="101"/>
    </row>
    <row r="116" spans="1:10" ht="15">
      <c r="A116" s="77"/>
      <c r="B116" s="169" t="s">
        <v>67</v>
      </c>
      <c r="C116" s="168" t="s">
        <v>45</v>
      </c>
      <c r="D116" s="171">
        <v>6963.24</v>
      </c>
      <c r="E116" s="171">
        <v>7000</v>
      </c>
      <c r="F116" s="171">
        <v>34</v>
      </c>
      <c r="G116" s="171">
        <v>6689</v>
      </c>
      <c r="H116" s="54">
        <f t="shared" si="0"/>
        <v>96.06160350641369</v>
      </c>
      <c r="I116" s="54">
        <f t="shared" si="1"/>
        <v>95.55714285714285</v>
      </c>
      <c r="J116" s="103"/>
    </row>
    <row r="117" spans="1:18" ht="30">
      <c r="A117" s="77"/>
      <c r="B117" s="190" t="s">
        <v>78</v>
      </c>
      <c r="C117" s="168" t="s">
        <v>45</v>
      </c>
      <c r="D117" s="76">
        <f>887+472+148.44</f>
        <v>1507.44</v>
      </c>
      <c r="E117" s="76">
        <v>2200</v>
      </c>
      <c r="F117" s="76">
        <f>151</f>
        <v>151</v>
      </c>
      <c r="G117" s="76">
        <f>959.3+1002+4</f>
        <v>1965.3</v>
      </c>
      <c r="H117" s="67">
        <f t="shared" si="0"/>
        <v>130.37334819296288</v>
      </c>
      <c r="I117" s="67">
        <f t="shared" si="1"/>
        <v>89.33181818181818</v>
      </c>
      <c r="J117" s="100"/>
      <c r="K117" s="94"/>
      <c r="L117" s="30"/>
      <c r="M117" s="27"/>
      <c r="N117" s="27"/>
      <c r="O117" s="27"/>
      <c r="P117" s="27"/>
      <c r="Q117" s="27"/>
      <c r="R117" s="27"/>
    </row>
    <row r="118" spans="1:18" ht="15">
      <c r="A118" s="77" t="s">
        <v>68</v>
      </c>
      <c r="B118" s="191" t="s">
        <v>69</v>
      </c>
      <c r="C118" s="166" t="s">
        <v>23</v>
      </c>
      <c r="D118" s="185">
        <f>+D119+D123</f>
        <v>76028.59</v>
      </c>
      <c r="E118" s="75">
        <f>E119+E123</f>
        <v>79380</v>
      </c>
      <c r="F118" s="75">
        <f>F119+F123</f>
        <v>5705</v>
      </c>
      <c r="G118" s="75">
        <f>G119+G123</f>
        <v>71084.8</v>
      </c>
      <c r="H118" s="53">
        <f>+G118/D118*100</f>
        <v>93.49745931103024</v>
      </c>
      <c r="I118" s="53">
        <f>+G118/E118*100</f>
        <v>89.55001259763165</v>
      </c>
      <c r="J118" s="100"/>
      <c r="K118" s="27"/>
      <c r="L118" s="27"/>
      <c r="M118" s="27"/>
      <c r="N118" s="27"/>
      <c r="O118" s="27"/>
      <c r="P118" s="27"/>
      <c r="Q118" s="27"/>
      <c r="R118" s="27"/>
    </row>
    <row r="119" spans="1:10" ht="15">
      <c r="A119" s="50" t="s">
        <v>74</v>
      </c>
      <c r="B119" s="191" t="s">
        <v>70</v>
      </c>
      <c r="C119" s="166" t="s">
        <v>23</v>
      </c>
      <c r="D119" s="75">
        <f>+D120+D121+D122</f>
        <v>68209.15</v>
      </c>
      <c r="E119" s="75">
        <f>E120+E121+E122</f>
        <v>71500</v>
      </c>
      <c r="F119" s="75">
        <f>F120+F121+F122</f>
        <v>4997</v>
      </c>
      <c r="G119" s="75">
        <f>G120+G121+G122</f>
        <v>63879</v>
      </c>
      <c r="H119" s="53">
        <f>+G119/D119*100</f>
        <v>93.6516581719608</v>
      </c>
      <c r="I119" s="53">
        <f>+G119/E119*100</f>
        <v>89.34125874125874</v>
      </c>
      <c r="J119" s="101"/>
    </row>
    <row r="120" spans="1:13" ht="15">
      <c r="A120" s="78"/>
      <c r="B120" s="192" t="s">
        <v>105</v>
      </c>
      <c r="C120" s="166" t="s">
        <v>23</v>
      </c>
      <c r="D120" s="64">
        <v>38685.32</v>
      </c>
      <c r="E120" s="64">
        <v>40000</v>
      </c>
      <c r="F120" s="13">
        <v>2145</v>
      </c>
      <c r="G120" s="13">
        <v>31683.4</v>
      </c>
      <c r="H120" s="54">
        <f t="shared" si="0"/>
        <v>81.90031774326799</v>
      </c>
      <c r="I120" s="54">
        <f t="shared" si="1"/>
        <v>79.2085</v>
      </c>
      <c r="J120" s="101"/>
      <c r="K120" s="32"/>
      <c r="L120" s="32"/>
      <c r="M120" s="27"/>
    </row>
    <row r="121" spans="1:10" ht="15">
      <c r="A121" s="77"/>
      <c r="B121" s="193" t="s">
        <v>106</v>
      </c>
      <c r="C121" s="166" t="s">
        <v>23</v>
      </c>
      <c r="D121" s="64">
        <v>5198.13</v>
      </c>
      <c r="E121" s="64">
        <v>6000</v>
      </c>
      <c r="F121" s="13">
        <v>106</v>
      </c>
      <c r="G121" s="13">
        <v>4664.1</v>
      </c>
      <c r="H121" s="54">
        <f t="shared" si="0"/>
        <v>89.72649779824668</v>
      </c>
      <c r="I121" s="54">
        <f t="shared" si="1"/>
        <v>77.73500000000001</v>
      </c>
      <c r="J121" s="101"/>
    </row>
    <row r="122" spans="1:13" ht="15">
      <c r="A122" s="170"/>
      <c r="B122" s="194" t="s">
        <v>107</v>
      </c>
      <c r="C122" s="173" t="s">
        <v>45</v>
      </c>
      <c r="D122" s="174">
        <v>24325.7</v>
      </c>
      <c r="E122" s="174">
        <v>25500</v>
      </c>
      <c r="F122" s="159">
        <v>2746</v>
      </c>
      <c r="G122" s="159">
        <v>27531.5</v>
      </c>
      <c r="H122" s="54">
        <f t="shared" si="0"/>
        <v>113.17865467386343</v>
      </c>
      <c r="I122" s="54">
        <f t="shared" si="1"/>
        <v>107.96666666666668</v>
      </c>
      <c r="J122" s="100"/>
      <c r="K122" s="32"/>
      <c r="L122" s="32"/>
      <c r="M122" s="27"/>
    </row>
    <row r="123" spans="1:10" ht="15">
      <c r="A123" s="77" t="s">
        <v>71</v>
      </c>
      <c r="B123" s="191" t="s">
        <v>72</v>
      </c>
      <c r="C123" s="168" t="s">
        <v>23</v>
      </c>
      <c r="D123" s="75">
        <f>+D124+D125+D126</f>
        <v>7819.44</v>
      </c>
      <c r="E123" s="185">
        <f>E124+E125+E126</f>
        <v>7880</v>
      </c>
      <c r="F123" s="185">
        <f>F124+F125+F126</f>
        <v>708</v>
      </c>
      <c r="G123" s="185">
        <f>G124+G125+G126</f>
        <v>7205.8</v>
      </c>
      <c r="H123" s="53">
        <f>+G123/D123*100</f>
        <v>92.15237919851037</v>
      </c>
      <c r="I123" s="53">
        <f>+G123/E123*100</f>
        <v>91.44416243654823</v>
      </c>
      <c r="J123" s="101"/>
    </row>
    <row r="124" spans="1:10" ht="15">
      <c r="A124" s="77"/>
      <c r="B124" s="195" t="s">
        <v>102</v>
      </c>
      <c r="C124" s="168" t="s">
        <v>45</v>
      </c>
      <c r="D124" s="196">
        <v>1869.02</v>
      </c>
      <c r="E124" s="171">
        <v>1850</v>
      </c>
      <c r="F124" s="159">
        <v>135</v>
      </c>
      <c r="G124" s="159">
        <v>1807.2</v>
      </c>
      <c r="H124" s="54">
        <f t="shared" si="0"/>
        <v>96.69238424414934</v>
      </c>
      <c r="I124" s="54">
        <f t="shared" si="1"/>
        <v>97.68648648648649</v>
      </c>
      <c r="J124" s="101"/>
    </row>
    <row r="125" spans="1:10" ht="15">
      <c r="A125" s="77"/>
      <c r="B125" s="195" t="s">
        <v>103</v>
      </c>
      <c r="C125" s="168" t="s">
        <v>45</v>
      </c>
      <c r="D125" s="196">
        <v>602.72</v>
      </c>
      <c r="E125" s="171">
        <v>630</v>
      </c>
      <c r="F125" s="159">
        <v>24</v>
      </c>
      <c r="G125" s="159">
        <v>650.5</v>
      </c>
      <c r="H125" s="54">
        <f t="shared" si="0"/>
        <v>107.92739580568092</v>
      </c>
      <c r="I125" s="54">
        <f t="shared" si="1"/>
        <v>103.25396825396827</v>
      </c>
      <c r="J125" s="101"/>
    </row>
    <row r="126" spans="1:10" ht="15">
      <c r="A126" s="77"/>
      <c r="B126" s="84" t="s">
        <v>104</v>
      </c>
      <c r="C126" s="36" t="s">
        <v>45</v>
      </c>
      <c r="D126" s="196">
        <v>5347.7</v>
      </c>
      <c r="E126" s="171">
        <v>5400</v>
      </c>
      <c r="F126" s="159">
        <v>549</v>
      </c>
      <c r="G126" s="159">
        <v>4748.1</v>
      </c>
      <c r="H126" s="54">
        <f t="shared" si="0"/>
        <v>88.78770312470783</v>
      </c>
      <c r="I126" s="54">
        <f t="shared" si="1"/>
        <v>87.92777777777778</v>
      </c>
      <c r="J126" s="101"/>
    </row>
    <row r="127" spans="1:10" ht="15">
      <c r="A127" s="80"/>
      <c r="B127" s="197" t="s">
        <v>81</v>
      </c>
      <c r="C127" s="81"/>
      <c r="D127" s="196"/>
      <c r="E127" s="78"/>
      <c r="F127" s="81"/>
      <c r="G127" s="81"/>
      <c r="H127" s="54"/>
      <c r="I127" s="54"/>
      <c r="J127" s="101"/>
    </row>
    <row r="128" spans="1:10" ht="15">
      <c r="A128" s="80"/>
      <c r="B128" s="81" t="s">
        <v>82</v>
      </c>
      <c r="C128" s="82" t="s">
        <v>83</v>
      </c>
      <c r="D128" s="64">
        <v>22199</v>
      </c>
      <c r="E128" s="85"/>
      <c r="F128" s="16">
        <v>99</v>
      </c>
      <c r="G128" s="16">
        <v>20116</v>
      </c>
      <c r="H128" s="54">
        <f aca="true" t="shared" si="2" ref="H128:H134">+G128/D128*100</f>
        <v>90.61669444569576</v>
      </c>
      <c r="I128" s="54"/>
      <c r="J128" s="101"/>
    </row>
    <row r="129" spans="1:10" ht="15">
      <c r="A129" s="80"/>
      <c r="B129" s="81" t="s">
        <v>84</v>
      </c>
      <c r="C129" s="82" t="s">
        <v>83</v>
      </c>
      <c r="D129" s="64">
        <v>2502</v>
      </c>
      <c r="E129" s="85"/>
      <c r="F129" s="16">
        <v>11</v>
      </c>
      <c r="G129" s="16">
        <v>2325</v>
      </c>
      <c r="H129" s="54">
        <f t="shared" si="2"/>
        <v>92.92565947242207</v>
      </c>
      <c r="I129" s="54"/>
      <c r="J129" s="101"/>
    </row>
    <row r="130" spans="1:10" ht="15">
      <c r="A130" s="80"/>
      <c r="B130" s="81" t="s">
        <v>85</v>
      </c>
      <c r="C130" s="82" t="s">
        <v>10</v>
      </c>
      <c r="D130" s="140">
        <v>24889.66</v>
      </c>
      <c r="E130" s="85"/>
      <c r="F130" s="198">
        <v>107</v>
      </c>
      <c r="G130" s="198">
        <v>22208.2</v>
      </c>
      <c r="H130" s="54">
        <f t="shared" si="2"/>
        <v>89.22661056840472</v>
      </c>
      <c r="I130" s="54"/>
      <c r="J130" s="101"/>
    </row>
    <row r="131" spans="1:10" ht="15">
      <c r="A131" s="80"/>
      <c r="B131" s="81" t="s">
        <v>86</v>
      </c>
      <c r="C131" s="82" t="s">
        <v>10</v>
      </c>
      <c r="D131" s="140">
        <v>965.53</v>
      </c>
      <c r="E131" s="85"/>
      <c r="F131" s="16">
        <v>3</v>
      </c>
      <c r="G131" s="16">
        <v>1223.6</v>
      </c>
      <c r="H131" s="54">
        <f t="shared" si="2"/>
        <v>126.72832537570038</v>
      </c>
      <c r="I131" s="54"/>
      <c r="J131" s="101"/>
    </row>
    <row r="132" spans="1:10" ht="15">
      <c r="A132" s="80"/>
      <c r="B132" s="81" t="s">
        <v>87</v>
      </c>
      <c r="C132" s="82" t="s">
        <v>57</v>
      </c>
      <c r="D132" s="140">
        <v>1738.36</v>
      </c>
      <c r="E132" s="85"/>
      <c r="F132" s="16">
        <v>10.9</v>
      </c>
      <c r="G132" s="16">
        <v>1395.9</v>
      </c>
      <c r="H132" s="54">
        <f t="shared" si="2"/>
        <v>80.29982282150993</v>
      </c>
      <c r="I132" s="54"/>
      <c r="J132" s="101"/>
    </row>
    <row r="133" spans="1:10" ht="15">
      <c r="A133" s="80"/>
      <c r="B133" s="81" t="s">
        <v>88</v>
      </c>
      <c r="C133" s="82" t="s">
        <v>57</v>
      </c>
      <c r="D133" s="140">
        <v>201.12</v>
      </c>
      <c r="E133" s="85"/>
      <c r="F133" s="16">
        <v>2.69</v>
      </c>
      <c r="G133" s="16">
        <v>202.5</v>
      </c>
      <c r="H133" s="54">
        <f t="shared" si="2"/>
        <v>100.68615751789976</v>
      </c>
      <c r="I133" s="54"/>
      <c r="J133" s="101"/>
    </row>
    <row r="134" spans="1:10" ht="15">
      <c r="A134" s="80"/>
      <c r="B134" s="81" t="s">
        <v>89</v>
      </c>
      <c r="C134" s="82" t="s">
        <v>90</v>
      </c>
      <c r="D134" s="199">
        <f>D133/D132*100</f>
        <v>11.56952529970777</v>
      </c>
      <c r="E134" s="199"/>
      <c r="F134" s="18">
        <f>F133/F132*100</f>
        <v>24.678899082568805</v>
      </c>
      <c r="G134" s="18">
        <f>G133/G132*100</f>
        <v>14.506769825918761</v>
      </c>
      <c r="H134" s="54">
        <f t="shared" si="2"/>
        <v>125.38777045835391</v>
      </c>
      <c r="I134" s="54"/>
      <c r="J134" s="101"/>
    </row>
    <row r="135" spans="1:10" ht="15">
      <c r="A135" s="200"/>
      <c r="B135" s="81" t="s">
        <v>129</v>
      </c>
      <c r="C135" s="201" t="s">
        <v>90</v>
      </c>
      <c r="D135" s="199">
        <f>D131/D130*100</f>
        <v>3.8792414199310072</v>
      </c>
      <c r="E135" s="199"/>
      <c r="F135" s="199">
        <f>F131/F130*100</f>
        <v>2.803738317757009</v>
      </c>
      <c r="G135" s="199">
        <f>G131/G130*100</f>
        <v>5.509676605938346</v>
      </c>
      <c r="H135" s="54">
        <f>+G135/D135*100</f>
        <v>142.02974266129425</v>
      </c>
      <c r="I135" s="54"/>
      <c r="J135" s="104"/>
    </row>
    <row r="136" spans="1:10" ht="30">
      <c r="A136" s="80"/>
      <c r="B136" s="202" t="s">
        <v>91</v>
      </c>
      <c r="C136" s="81"/>
      <c r="D136" s="140"/>
      <c r="E136" s="85"/>
      <c r="F136" s="17"/>
      <c r="G136" s="203"/>
      <c r="H136" s="199"/>
      <c r="I136" s="91"/>
      <c r="J136" s="104"/>
    </row>
    <row r="137" spans="1:10" ht="15">
      <c r="A137" s="80"/>
      <c r="B137" s="81" t="s">
        <v>82</v>
      </c>
      <c r="C137" s="82" t="s">
        <v>83</v>
      </c>
      <c r="D137" s="140">
        <v>20320</v>
      </c>
      <c r="E137" s="85"/>
      <c r="F137" s="16">
        <v>877</v>
      </c>
      <c r="G137" s="16">
        <v>19575</v>
      </c>
      <c r="H137" s="199">
        <f aca="true" t="shared" si="3" ref="H137:H143">G137/D137*100</f>
        <v>96.33366141732283</v>
      </c>
      <c r="I137" s="91"/>
      <c r="J137" s="104"/>
    </row>
    <row r="138" spans="1:10" ht="15">
      <c r="A138" s="80"/>
      <c r="B138" s="81" t="s">
        <v>84</v>
      </c>
      <c r="C138" s="82" t="s">
        <v>83</v>
      </c>
      <c r="D138" s="140">
        <v>3712</v>
      </c>
      <c r="E138" s="85"/>
      <c r="F138" s="16">
        <v>165</v>
      </c>
      <c r="G138" s="16">
        <v>2805</v>
      </c>
      <c r="H138" s="199">
        <f t="shared" si="3"/>
        <v>75.56573275862068</v>
      </c>
      <c r="I138" s="91"/>
      <c r="J138" s="104"/>
    </row>
    <row r="139" spans="1:10" ht="15">
      <c r="A139" s="80"/>
      <c r="B139" s="81" t="s">
        <v>85</v>
      </c>
      <c r="C139" s="82" t="s">
        <v>10</v>
      </c>
      <c r="D139" s="140">
        <v>9177.81</v>
      </c>
      <c r="E139" s="140"/>
      <c r="F139" s="140">
        <f>F100</f>
        <v>286</v>
      </c>
      <c r="G139" s="140">
        <v>7813.3</v>
      </c>
      <c r="H139" s="199">
        <f t="shared" si="3"/>
        <v>85.13250982532871</v>
      </c>
      <c r="I139" s="91"/>
      <c r="J139" s="104"/>
    </row>
    <row r="140" spans="1:10" ht="15">
      <c r="A140" s="80"/>
      <c r="B140" s="81" t="s">
        <v>86</v>
      </c>
      <c r="C140" s="82" t="s">
        <v>10</v>
      </c>
      <c r="D140" s="140">
        <v>1461.4</v>
      </c>
      <c r="E140" s="85"/>
      <c r="F140" s="16">
        <v>108</v>
      </c>
      <c r="G140" s="16">
        <v>1070.3</v>
      </c>
      <c r="H140" s="199">
        <f t="shared" si="3"/>
        <v>73.23799096756534</v>
      </c>
      <c r="I140" s="91"/>
      <c r="J140" s="104"/>
    </row>
    <row r="141" spans="1:10" ht="15">
      <c r="A141" s="204"/>
      <c r="B141" s="81" t="s">
        <v>87</v>
      </c>
      <c r="C141" s="82" t="s">
        <v>57</v>
      </c>
      <c r="D141" s="140">
        <v>5335.34</v>
      </c>
      <c r="E141" s="85"/>
      <c r="F141" s="16">
        <v>800.4</v>
      </c>
      <c r="G141" s="16">
        <v>5635.7</v>
      </c>
      <c r="H141" s="199">
        <f t="shared" si="3"/>
        <v>105.62963185101606</v>
      </c>
      <c r="I141" s="91"/>
      <c r="J141" s="104"/>
    </row>
    <row r="142" spans="1:10" ht="15">
      <c r="A142" s="80"/>
      <c r="B142" s="205" t="s">
        <v>88</v>
      </c>
      <c r="C142" s="206" t="s">
        <v>57</v>
      </c>
      <c r="D142" s="207">
        <v>858.8</v>
      </c>
      <c r="E142" s="208"/>
      <c r="F142" s="209">
        <v>50.6</v>
      </c>
      <c r="G142" s="209">
        <v>624.8</v>
      </c>
      <c r="H142" s="199">
        <f t="shared" si="3"/>
        <v>72.7526781555659</v>
      </c>
      <c r="I142" s="210"/>
      <c r="J142" s="104"/>
    </row>
    <row r="143" spans="1:10" ht="15">
      <c r="A143" s="80"/>
      <c r="B143" s="211" t="s">
        <v>89</v>
      </c>
      <c r="C143" s="82" t="s">
        <v>90</v>
      </c>
      <c r="D143" s="199">
        <f>D142/D141*100</f>
        <v>16.096443713052963</v>
      </c>
      <c r="E143" s="199"/>
      <c r="F143" s="199">
        <f>F142/F141*100</f>
        <v>6.321839080459771</v>
      </c>
      <c r="G143" s="199">
        <f>G142/G141*100</f>
        <v>11.086466632361553</v>
      </c>
      <c r="H143" s="199">
        <f t="shared" si="3"/>
        <v>68.87525486993933</v>
      </c>
      <c r="I143" s="91"/>
      <c r="J143" s="28"/>
    </row>
    <row r="144" spans="1:9" ht="15">
      <c r="A144" s="212"/>
      <c r="B144" s="213" t="s">
        <v>129</v>
      </c>
      <c r="C144" s="214" t="s">
        <v>90</v>
      </c>
      <c r="D144" s="215">
        <f>D140/D139*100</f>
        <v>15.923188647400636</v>
      </c>
      <c r="E144" s="215"/>
      <c r="F144" s="215">
        <f>F140/F139*100</f>
        <v>37.76223776223776</v>
      </c>
      <c r="G144" s="215">
        <f>G140/G139*100</f>
        <v>13.698437280022524</v>
      </c>
      <c r="H144" s="215">
        <f>G144/D144*100</f>
        <v>86.02822954219481</v>
      </c>
      <c r="I144" s="216"/>
    </row>
  </sheetData>
  <sheetProtection/>
  <mergeCells count="9">
    <mergeCell ref="H5:I5"/>
    <mergeCell ref="A1:I1"/>
    <mergeCell ref="A2:I2"/>
    <mergeCell ref="A3:I3"/>
    <mergeCell ref="A5:A6"/>
    <mergeCell ref="B5:B6"/>
    <mergeCell ref="C5:C6"/>
    <mergeCell ref="E5:G5"/>
    <mergeCell ref="D5:D6"/>
  </mergeCells>
  <printOptions horizontalCentered="1"/>
  <pageMargins left="0.03937007874015748" right="0" top="0.35433070866141736" bottom="0.1968503937007874" header="0.31496062992125984" footer="0.1968503937007874"/>
  <pageSetup horizontalDpi="600" verticalDpi="600" orientation="portrait" paperSize="9" scale="95" r:id="rId3"/>
  <ignoredErrors>
    <ignoredError sqref="E15:E18 D18 F18:G18" unlockedFormula="1"/>
    <ignoredError sqref="E12:F12 G12 I17:I19" emptyCellReference="1"/>
    <ignoredError sqref="E36 E41 E39 E40 E38:F38 F37" formula="1"/>
    <ignoredError sqref="F41 F36" evalError="1" formula="1"/>
    <ignoredError sqref="F42:F51 F62 F73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 Hoach</cp:lastModifiedBy>
  <cp:lastPrinted>2021-10-18T03:37:11Z</cp:lastPrinted>
  <dcterms:created xsi:type="dcterms:W3CDTF">2014-10-14T06:59:10Z</dcterms:created>
  <dcterms:modified xsi:type="dcterms:W3CDTF">2021-12-17T10:08:28Z</dcterms:modified>
  <cp:category/>
  <cp:version/>
  <cp:contentType/>
  <cp:contentStatus/>
</cp:coreProperties>
</file>