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3" sheetId="2" r:id="rId2"/>
  </sheets>
  <definedNames>
    <definedName name="_xlnm.Print_Titles" localSheetId="0">'Sheet1'!$6:$7</definedName>
  </definedNames>
  <calcPr fullCalcOnLoad="1"/>
</workbook>
</file>

<file path=xl/sharedStrings.xml><?xml version="1.0" encoding="utf-8"?>
<sst xmlns="http://schemas.openxmlformats.org/spreadsheetml/2006/main" count="314" uniqueCount="161">
  <si>
    <t>Chỉ tiêu</t>
  </si>
  <si>
    <t>ĐVT</t>
  </si>
  <si>
    <t>% so sánh với</t>
  </si>
  <si>
    <t>Cùng kỳ</t>
  </si>
  <si>
    <t>Kế hoạch</t>
  </si>
  <si>
    <t>A</t>
  </si>
  <si>
    <t>B</t>
  </si>
  <si>
    <t>C</t>
  </si>
  <si>
    <t>4=3/1</t>
  </si>
  <si>
    <t>5=3/2</t>
  </si>
  <si>
    <t>I.</t>
  </si>
  <si>
    <t>TRỒNG TRỌT</t>
  </si>
  <si>
    <t>Tổng DT gieo trồng</t>
  </si>
  <si>
    <t>Ha</t>
  </si>
  <si>
    <t>1.1.</t>
  </si>
  <si>
    <t>Cây lương thực có hạt</t>
  </si>
  <si>
    <t>Cây lúa</t>
  </si>
  <si>
    <t xml:space="preserve"> - Diện tích thu hoạch</t>
  </si>
  <si>
    <t xml:space="preserve"> - Năng suất bình quân</t>
  </si>
  <si>
    <t>Tạ/ha</t>
  </si>
  <si>
    <t xml:space="preserve"> - Sản lượng</t>
  </si>
  <si>
    <t>tấn</t>
  </si>
  <si>
    <t xml:space="preserve"> Vụ Đông - Xuân </t>
  </si>
  <si>
    <t xml:space="preserve"> - DT gieo sạ</t>
  </si>
  <si>
    <t>ha</t>
  </si>
  <si>
    <t>Cây màu</t>
  </si>
  <si>
    <t>Cây bắp</t>
  </si>
  <si>
    <t xml:space="preserve"> - Diện tích gieo trồng</t>
  </si>
  <si>
    <t xml:space="preserve"> - Diện tích thu hoạch</t>
  </si>
  <si>
    <t>''</t>
  </si>
  <si>
    <t xml:space="preserve"> - Năng suất </t>
  </si>
  <si>
    <t xml:space="preserve"> - Sản lượng </t>
  </si>
  <si>
    <t>Tấn</t>
  </si>
  <si>
    <t>1.2.</t>
  </si>
  <si>
    <t>Cây có củ</t>
  </si>
  <si>
    <t xml:space="preserve">Khoai lang </t>
  </si>
  <si>
    <t xml:space="preserve"> + Diện tích gieo trồng</t>
  </si>
  <si>
    <t xml:space="preserve"> + Diện tích thu hoạch</t>
  </si>
  <si>
    <t xml:space="preserve"> + Năng suất </t>
  </si>
  <si>
    <t xml:space="preserve"> + Sản lượng </t>
  </si>
  <si>
    <t>Sắn</t>
  </si>
  <si>
    <t xml:space="preserve">Cây có củ khác </t>
  </si>
  <si>
    <t>1.3.</t>
  </si>
  <si>
    <t>Cây thực phẩm</t>
  </si>
  <si>
    <t>Rau các loại</t>
  </si>
  <si>
    <t xml:space="preserve"> + DT gieo trồng </t>
  </si>
  <si>
    <t>Đậu các loại</t>
  </si>
  <si>
    <t>1.4</t>
  </si>
  <si>
    <t>Cây công nghiệp hàng năm</t>
  </si>
  <si>
    <t xml:space="preserve"> </t>
  </si>
  <si>
    <t>Đậu phộng</t>
  </si>
  <si>
    <t>Mía</t>
  </si>
  <si>
    <t xml:space="preserve"> + Diện tích trồng</t>
  </si>
  <si>
    <t>Trong đó: DT trồng mới</t>
  </si>
  <si>
    <t xml:space="preserve"> + Năng suất</t>
  </si>
  <si>
    <t>Cây lác (cói)</t>
  </si>
  <si>
    <t>Cây trồng khác</t>
  </si>
  <si>
    <t>"</t>
  </si>
  <si>
    <t xml:space="preserve"> + Cây hàng năm khác</t>
  </si>
  <si>
    <t xml:space="preserve"> + Dây thuốc cá</t>
  </si>
  <si>
    <t>Cây lâu năm</t>
  </si>
  <si>
    <t>Cây ăn quả</t>
  </si>
  <si>
    <t>II</t>
  </si>
  <si>
    <t>CHĂN NUÔI</t>
  </si>
  <si>
    <t>LÂM NGHIỆP</t>
  </si>
  <si>
    <t>1.</t>
  </si>
  <si>
    <t>Lâm sinh</t>
  </si>
  <si>
    <t>DT rừng trồng tập trung</t>
  </si>
  <si>
    <t xml:space="preserve">  Trong đó:</t>
  </si>
  <si>
    <t xml:space="preserve"> - Rừng phòng hộ </t>
  </si>
  <si>
    <t xml:space="preserve"> ''</t>
  </si>
  <si>
    <t xml:space="preserve"> - Rừng đặc dụng</t>
  </si>
  <si>
    <t xml:space="preserve"> - Rừng sản xuất</t>
  </si>
  <si>
    <t xml:space="preserve"> DT trồng lại sau khai thác</t>
  </si>
  <si>
    <t>DT rừng trồng được chăm sóc</t>
  </si>
  <si>
    <t>DT khoanh nuôi tái sinh</t>
  </si>
  <si>
    <t>1.4.</t>
  </si>
  <si>
    <t>DT giao khoán bảo vệ</t>
  </si>
  <si>
    <t>1.5.</t>
  </si>
  <si>
    <t>Số cây lâm nghiệp phân tán</t>
  </si>
  <si>
    <t>1000 cây</t>
  </si>
  <si>
    <t>2.</t>
  </si>
  <si>
    <t>Khai thác</t>
  </si>
  <si>
    <t xml:space="preserve"> - Sản lượng gỗ khai thác</t>
  </si>
  <si>
    <t>DIÊM NGHIỆP</t>
  </si>
  <si>
    <t>D</t>
  </si>
  <si>
    <t>THỦY SẢN</t>
  </si>
  <si>
    <t>Tổng diện tích nuôi</t>
  </si>
  <si>
    <t>Nuôi nước ngọt</t>
  </si>
  <si>
    <t xml:space="preserve"> - Diện tích nuôi cá</t>
  </si>
  <si>
    <t xml:space="preserve">    Trong đó: cá tra, cá ba sa</t>
  </si>
  <si>
    <t xml:space="preserve"> - Diện tích nuôi giáp xác</t>
  </si>
  <si>
    <t xml:space="preserve">    Trong đó: tôm càng xanh</t>
  </si>
  <si>
    <t xml:space="preserve"> - Diện tích nuôi khác</t>
  </si>
  <si>
    <t>Nuôi nước mặn, lợ</t>
  </si>
  <si>
    <t xml:space="preserve">    Trong đó: + cá giò, cá song</t>
  </si>
  <si>
    <t xml:space="preserve">                   + …</t>
  </si>
  <si>
    <t xml:space="preserve"> Trong đó: + Tôm sú</t>
  </si>
  <si>
    <t xml:space="preserve">                + Tôm thẻ chân trắng</t>
  </si>
  <si>
    <t xml:space="preserve">                + Cua biển                   </t>
  </si>
  <si>
    <t xml:space="preserve"> - Diện tích nuôi khác
 (nghêu - sò huyết)</t>
  </si>
  <si>
    <t>Thể tích nuôi lồng, bè</t>
  </si>
  <si>
    <t>- Nuôi cá</t>
  </si>
  <si>
    <t>- Nuôi giáp xác</t>
  </si>
  <si>
    <t>- Nuôi nhuyễn thể</t>
  </si>
  <si>
    <t>3.</t>
  </si>
  <si>
    <t>Sản lượng con giống sản xuất</t>
  </si>
  <si>
    <t>Triệu con</t>
  </si>
  <si>
    <t>- Cá giống</t>
  </si>
  <si>
    <t>- Tôm giống</t>
  </si>
  <si>
    <t>- Nhuyễn thể giống</t>
  </si>
  <si>
    <t>Tổng sản lượng thủy sản</t>
  </si>
  <si>
    <t>4.1</t>
  </si>
  <si>
    <t>Tổng sản lượng nuôi</t>
  </si>
  <si>
    <t>4.1.1</t>
  </si>
  <si>
    <t xml:space="preserve"> - Sản lượng cá</t>
  </si>
  <si>
    <t xml:space="preserve"> - Sản lượng giáp xác</t>
  </si>
  <si>
    <r>
      <t xml:space="preserve">    Trong đó: tôm càng xanh</t>
    </r>
  </si>
  <si>
    <t xml:space="preserve"> - Sản lượng thủy sản khác</t>
  </si>
  <si>
    <t>4.1.2.</t>
  </si>
  <si>
    <t xml:space="preserve"> - Sản lượng cá nuôi</t>
  </si>
  <si>
    <r>
      <t xml:space="preserve">    Trong đó: Cá giò, cá song</t>
    </r>
  </si>
  <si>
    <t xml:space="preserve">     …</t>
  </si>
  <si>
    <t xml:space="preserve"> - Sản lượng tôm nuôi</t>
  </si>
  <si>
    <r>
      <t xml:space="preserve">    Trong đó: + Tôm sú</t>
    </r>
  </si>
  <si>
    <t xml:space="preserve">                   + Tôm thẻ chân trắng</t>
  </si>
  <si>
    <t xml:space="preserve">                   + Nuôi cua biển</t>
  </si>
  <si>
    <t xml:space="preserve"> - Sản lượng thủy sản khác
 (nghêu - sò huyết)</t>
  </si>
  <si>
    <t>4.2</t>
  </si>
  <si>
    <t>Tổng sản lượng khai thác</t>
  </si>
  <si>
    <t>4.2.1.</t>
  </si>
  <si>
    <t>Khai thác biển</t>
  </si>
  <si>
    <t xml:space="preserve"> + Sản lượng cá khai thác</t>
  </si>
  <si>
    <t xml:space="preserve"> Trong đó: - Loài ….</t>
  </si>
  <si>
    <t xml:space="preserve"> - …</t>
  </si>
  <si>
    <t xml:space="preserve"> + Sản lượng giáp xác khai thác</t>
  </si>
  <si>
    <t xml:space="preserve"> Trong đó: - Tôm…</t>
  </si>
  <si>
    <t xml:space="preserve"> + SL nhuyễn thể khai thác</t>
  </si>
  <si>
    <t xml:space="preserve"> + SL hải sản khác khai thác</t>
  </si>
  <si>
    <t>4.2.2</t>
  </si>
  <si>
    <t>Khai thác nội địa</t>
  </si>
  <si>
    <t xml:space="preserve">               - Tôm các loại</t>
  </si>
  <si>
    <t xml:space="preserve">               - Nhuyễn thể các loại</t>
  </si>
  <si>
    <t xml:space="preserve">               - Giáp xác các loại 
                  (không kể tôm)</t>
  </si>
  <si>
    <t xml:space="preserve">               - Thủy sản khác</t>
  </si>
  <si>
    <t>SẢN XUẤT NÔNG NGHIỆP</t>
  </si>
  <si>
    <t>STT</t>
  </si>
  <si>
    <t>Vụ Hè Thu</t>
  </si>
  <si>
    <t xml:space="preserve"> - Diện tích</t>
  </si>
  <si>
    <t>Sở Nông nghiệp và PTNT tỉnh Trà Vinh</t>
  </si>
  <si>
    <t>BÁO CÁO THÁNG VỀ SẢN XUẤT NÔNG, LÂM, DIÊM NGHIỆP, THUỶ SẢN</t>
  </si>
  <si>
    <t>KH 
vụ/năm
2014</t>
  </si>
  <si>
    <t xml:space="preserve">                       Cá lóc</t>
  </si>
  <si>
    <t xml:space="preserve">    Trong đó:  cá tra, cá ba sa</t>
  </si>
  <si>
    <t>Ước TH kỳ này</t>
  </si>
  <si>
    <t>Cùng kỳ năm 2013</t>
  </si>
  <si>
    <r>
      <t>m</t>
    </r>
    <r>
      <rPr>
        <vertAlign val="superscript"/>
        <sz val="10"/>
        <rFont val="Times New Roman"/>
        <family val="1"/>
      </rPr>
      <t>3</t>
    </r>
  </si>
  <si>
    <r>
      <t xml:space="preserve"> </t>
    </r>
    <r>
      <rPr>
        <i/>
        <sz val="10"/>
        <rFont val="Times New Roman"/>
        <family val="1"/>
      </rPr>
      <t xml:space="preserve">  Trong đó</t>
    </r>
    <r>
      <rPr>
        <sz val="10"/>
        <rFont val="Times New Roman"/>
        <family val="1"/>
      </rPr>
      <t xml:space="preserve">: Gỗ rừng trồng </t>
    </r>
  </si>
  <si>
    <r>
      <t>Trong đó:</t>
    </r>
    <r>
      <rPr>
        <sz val="10"/>
        <rFont val="Times New Roman"/>
        <family val="1"/>
      </rPr>
      <t>- Cá các loại</t>
    </r>
  </si>
  <si>
    <t>Tính đến ngày 15/5/2014</t>
  </si>
  <si>
    <t>TH 
tháng 05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</si>
</sst>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_);_(@_)"/>
    <numFmt numFmtId="167" formatCode="_(* #,##0.0_);_(* \(#,##0.0\);_(* &quot;-&quot;??_);_(@_)"/>
    <numFmt numFmtId="168" formatCode="0.0%"/>
    <numFmt numFmtId="169" formatCode="_(* #,##0.000_);_(* \(#,##0.000\);_(* &quot;-&quot;??_);_(@_)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#,##0.0"/>
    <numFmt numFmtId="176" formatCode="_(* #,##0.0000_);_(* \(#,##0.0000\);_(* &quot;-&quot;??_);_(@_)"/>
    <numFmt numFmtId="177" formatCode="_(* #,##0.000_);_(* \(#,##0.000\);_(* &quot;-&quot;???_);_(@_)"/>
  </numFmts>
  <fonts count="20">
    <font>
      <sz val="10"/>
      <name val="Arial"/>
      <family val="0"/>
    </font>
    <font>
      <i/>
      <sz val="12"/>
      <color indexed="8"/>
      <name val="Times New Roman"/>
      <family val="1"/>
    </font>
    <font>
      <sz val="8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164" fontId="3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3" fontId="4" fillId="0" borderId="0" xfId="0" applyNumberFormat="1" applyFont="1" applyAlignment="1">
      <alignment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0" fontId="6" fillId="0" borderId="0" xfId="0" applyFont="1" applyAlignment="1">
      <alignment/>
    </xf>
    <xf numFmtId="165" fontId="12" fillId="0" borderId="1" xfId="0" applyNumberFormat="1" applyFont="1" applyBorder="1" applyAlignment="1">
      <alignment vertical="center"/>
    </xf>
    <xf numFmtId="165" fontId="12" fillId="0" borderId="1" xfId="15" applyNumberFormat="1" applyFont="1" applyBorder="1" applyAlignment="1">
      <alignment vertical="center"/>
    </xf>
    <xf numFmtId="165" fontId="12" fillId="0" borderId="1" xfId="15" applyNumberFormat="1" applyFont="1" applyBorder="1" applyAlignment="1">
      <alignment vertical="center" wrapText="1"/>
    </xf>
    <xf numFmtId="10" fontId="12" fillId="0" borderId="1" xfId="19" applyNumberFormat="1" applyFont="1" applyBorder="1" applyAlignment="1">
      <alignment vertical="center"/>
    </xf>
    <xf numFmtId="164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10" fontId="12" fillId="0" borderId="2" xfId="19" applyNumberFormat="1" applyFont="1" applyBorder="1" applyAlignment="1">
      <alignment vertical="center"/>
    </xf>
    <xf numFmtId="165" fontId="12" fillId="0" borderId="1" xfId="0" applyNumberFormat="1" applyFont="1" applyFill="1" applyBorder="1" applyAlignment="1">
      <alignment vertical="center" wrapText="1"/>
    </xf>
    <xf numFmtId="0" fontId="13" fillId="0" borderId="2" xfId="0" applyFont="1" applyBorder="1" applyAlignment="1">
      <alignment vertical="center"/>
    </xf>
    <xf numFmtId="164" fontId="13" fillId="0" borderId="1" xfId="0" applyNumberFormat="1" applyFont="1" applyFill="1" applyBorder="1" applyAlignment="1" quotePrefix="1">
      <alignment horizontal="center" vertical="center" wrapText="1"/>
    </xf>
    <xf numFmtId="165" fontId="12" fillId="0" borderId="3" xfId="15" applyNumberFormat="1" applyFont="1" applyBorder="1" applyAlignment="1">
      <alignment vertical="center"/>
    </xf>
    <xf numFmtId="164" fontId="13" fillId="0" borderId="1" xfId="0" applyNumberFormat="1" applyFont="1" applyBorder="1" applyAlignment="1">
      <alignment horizontal="center" vertical="center" wrapText="1"/>
    </xf>
    <xf numFmtId="165" fontId="4" fillId="0" borderId="0" xfId="0" applyNumberFormat="1" applyFont="1" applyAlignment="1">
      <alignment/>
    </xf>
    <xf numFmtId="165" fontId="7" fillId="0" borderId="0" xfId="0" applyNumberFormat="1" applyFont="1" applyBorder="1" applyAlignment="1">
      <alignment/>
    </xf>
    <xf numFmtId="169" fontId="7" fillId="0" borderId="0" xfId="15" applyNumberFormat="1" applyFont="1" applyBorder="1" applyAlignment="1">
      <alignment/>
    </xf>
    <xf numFmtId="43" fontId="8" fillId="0" borderId="0" xfId="0" applyNumberFormat="1" applyFont="1" applyBorder="1" applyAlignment="1">
      <alignment/>
    </xf>
    <xf numFmtId="43" fontId="8" fillId="0" borderId="0" xfId="15" applyFont="1" applyBorder="1" applyAlignment="1">
      <alignment/>
    </xf>
    <xf numFmtId="0" fontId="8" fillId="0" borderId="0" xfId="0" applyFont="1" applyBorder="1" applyAlignment="1">
      <alignment/>
    </xf>
    <xf numFmtId="165" fontId="7" fillId="0" borderId="0" xfId="15" applyNumberFormat="1" applyFont="1" applyBorder="1" applyAlignment="1">
      <alignment/>
    </xf>
    <xf numFmtId="165" fontId="8" fillId="0" borderId="0" xfId="0" applyNumberFormat="1" applyFont="1" applyBorder="1" applyAlignment="1">
      <alignment/>
    </xf>
    <xf numFmtId="167" fontId="8" fillId="0" borderId="0" xfId="15" applyNumberFormat="1" applyFont="1" applyBorder="1" applyAlignment="1">
      <alignment/>
    </xf>
    <xf numFmtId="165" fontId="8" fillId="0" borderId="0" xfId="15" applyNumberFormat="1" applyFont="1" applyBorder="1" applyAlignment="1">
      <alignment vertical="center"/>
    </xf>
    <xf numFmtId="167" fontId="9" fillId="0" borderId="0" xfId="0" applyNumberFormat="1" applyFont="1" applyBorder="1" applyAlignment="1">
      <alignment/>
    </xf>
    <xf numFmtId="43" fontId="7" fillId="0" borderId="0" xfId="0" applyNumberFormat="1" applyFont="1" applyBorder="1" applyAlignment="1">
      <alignment/>
    </xf>
    <xf numFmtId="43" fontId="7" fillId="0" borderId="0" xfId="15" applyNumberFormat="1" applyFont="1" applyBorder="1" applyAlignment="1">
      <alignment/>
    </xf>
    <xf numFmtId="165" fontId="8" fillId="0" borderId="0" xfId="15" applyNumberFormat="1" applyFont="1" applyBorder="1" applyAlignment="1">
      <alignment/>
    </xf>
    <xf numFmtId="1" fontId="8" fillId="0" borderId="0" xfId="15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165" fontId="4" fillId="0" borderId="0" xfId="0" applyNumberFormat="1" applyFont="1" applyBorder="1" applyAlignment="1">
      <alignment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164" fontId="14" fillId="0" borderId="6" xfId="0" applyNumberFormat="1" applyFont="1" applyFill="1" applyBorder="1" applyAlignment="1">
      <alignment horizontal="center" vertical="center" wrapText="1"/>
    </xf>
    <xf numFmtId="164" fontId="14" fillId="0" borderId="7" xfId="0" applyNumberFormat="1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13" fillId="0" borderId="2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165" fontId="12" fillId="0" borderId="1" xfId="15" applyNumberFormat="1" applyFont="1" applyBorder="1" applyAlignment="1">
      <alignment horizontal="right" vertical="center"/>
    </xf>
    <xf numFmtId="165" fontId="12" fillId="0" borderId="9" xfId="15" applyNumberFormat="1" applyFont="1" applyBorder="1" applyAlignment="1">
      <alignment vertical="center" wrapText="1"/>
    </xf>
    <xf numFmtId="43" fontId="12" fillId="0" borderId="1" xfId="15" applyNumberFormat="1" applyFont="1" applyBorder="1" applyAlignment="1">
      <alignment vertical="center" wrapText="1"/>
    </xf>
    <xf numFmtId="0" fontId="12" fillId="0" borderId="2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167" fontId="12" fillId="0" borderId="1" xfId="15" applyNumberFormat="1" applyFont="1" applyBorder="1" applyAlignment="1">
      <alignment horizontal="right" vertical="center"/>
    </xf>
    <xf numFmtId="165" fontId="12" fillId="0" borderId="1" xfId="15" applyNumberFormat="1" applyFont="1" applyBorder="1" applyAlignment="1">
      <alignment horizontal="right"/>
    </xf>
    <xf numFmtId="0" fontId="12" fillId="0" borderId="2" xfId="0" applyFont="1" applyBorder="1" applyAlignment="1">
      <alignment horizontal="center"/>
    </xf>
    <xf numFmtId="165" fontId="12" fillId="0" borderId="1" xfId="15" applyNumberFormat="1" applyFont="1" applyFill="1" applyBorder="1" applyAlignment="1" applyProtection="1">
      <alignment horizontal="right" vertical="center"/>
      <protection locked="0"/>
    </xf>
    <xf numFmtId="0" fontId="12" fillId="0" borderId="2" xfId="0" applyFont="1" applyBorder="1" applyAlignment="1">
      <alignment horizontal="center" vertical="center"/>
    </xf>
    <xf numFmtId="43" fontId="12" fillId="0" borderId="1" xfId="15" applyNumberFormat="1" applyFont="1" applyBorder="1" applyAlignment="1">
      <alignment horizontal="right" vertical="center"/>
    </xf>
    <xf numFmtId="165" fontId="14" fillId="0" borderId="2" xfId="15" applyNumberFormat="1" applyFont="1" applyBorder="1" applyAlignment="1">
      <alignment horizontal="right" vertical="top" wrapText="1"/>
    </xf>
    <xf numFmtId="0" fontId="13" fillId="0" borderId="10" xfId="0" applyFont="1" applyBorder="1" applyAlignment="1">
      <alignment horizontal="left"/>
    </xf>
    <xf numFmtId="43" fontId="12" fillId="0" borderId="11" xfId="15" applyNumberFormat="1" applyFont="1" applyBorder="1" applyAlignment="1">
      <alignment horizontal="right" vertical="center"/>
    </xf>
    <xf numFmtId="165" fontId="12" fillId="0" borderId="2" xfId="15" applyNumberFormat="1" applyFont="1" applyBorder="1" applyAlignment="1">
      <alignment horizontal="right" vertical="top" wrapText="1"/>
    </xf>
    <xf numFmtId="164" fontId="13" fillId="0" borderId="1" xfId="0" applyNumberFormat="1" applyFont="1" applyBorder="1" applyAlignment="1" quotePrefix="1">
      <alignment horizontal="center" vertical="center"/>
    </xf>
    <xf numFmtId="0" fontId="13" fillId="0" borderId="10" xfId="0" applyFont="1" applyBorder="1" applyAlignment="1">
      <alignment vertical="center" wrapText="1"/>
    </xf>
    <xf numFmtId="165" fontId="13" fillId="0" borderId="1" xfId="15" applyNumberFormat="1" applyFont="1" applyBorder="1" applyAlignment="1">
      <alignment horizontal="right" vertical="center"/>
    </xf>
    <xf numFmtId="165" fontId="13" fillId="0" borderId="1" xfId="15" applyNumberFormat="1" applyFont="1" applyBorder="1" applyAlignment="1">
      <alignment vertical="center"/>
    </xf>
    <xf numFmtId="0" fontId="12" fillId="0" borderId="2" xfId="0" applyFont="1" applyBorder="1" applyAlignment="1" quotePrefix="1">
      <alignment vertical="center"/>
    </xf>
    <xf numFmtId="0" fontId="12" fillId="0" borderId="2" xfId="0" applyFont="1" applyBorder="1" applyAlignment="1" quotePrefix="1">
      <alignment horizontal="center" vertical="center"/>
    </xf>
    <xf numFmtId="165" fontId="12" fillId="0" borderId="1" xfId="15" applyNumberFormat="1" applyFont="1" applyBorder="1" applyAlignment="1">
      <alignment/>
    </xf>
    <xf numFmtId="43" fontId="12" fillId="0" borderId="1" xfId="15" applyFont="1" applyBorder="1" applyAlignment="1">
      <alignment/>
    </xf>
    <xf numFmtId="0" fontId="12" fillId="0" borderId="2" xfId="0" applyFont="1" applyBorder="1" applyAlignment="1">
      <alignment horizontal="left" vertical="center" wrapText="1"/>
    </xf>
    <xf numFmtId="165" fontId="12" fillId="0" borderId="1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vertical="center" wrapText="1"/>
    </xf>
    <xf numFmtId="164" fontId="13" fillId="0" borderId="11" xfId="0" applyNumberFormat="1" applyFont="1" applyBorder="1" applyAlignment="1" quotePrefix="1">
      <alignment horizontal="center" vertical="center"/>
    </xf>
    <xf numFmtId="0" fontId="12" fillId="0" borderId="2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 quotePrefix="1">
      <alignment horizontal="center" vertical="center"/>
    </xf>
    <xf numFmtId="0" fontId="13" fillId="0" borderId="2" xfId="0" applyFont="1" applyBorder="1" applyAlignment="1">
      <alignment vertical="center" wrapText="1"/>
    </xf>
    <xf numFmtId="1" fontId="13" fillId="0" borderId="1" xfId="0" applyNumberFormat="1" applyFont="1" applyBorder="1" applyAlignment="1">
      <alignment horizontal="center" vertical="center"/>
    </xf>
    <xf numFmtId="43" fontId="12" fillId="0" borderId="1" xfId="15" applyNumberFormat="1" applyFont="1" applyBorder="1" applyAlignment="1">
      <alignment vertical="center"/>
    </xf>
    <xf numFmtId="0" fontId="12" fillId="0" borderId="3" xfId="0" applyFont="1" applyBorder="1" applyAlignment="1">
      <alignment/>
    </xf>
    <xf numFmtId="0" fontId="12" fillId="0" borderId="1" xfId="0" applyFont="1" applyBorder="1" applyAlignment="1">
      <alignment/>
    </xf>
    <xf numFmtId="0" fontId="12" fillId="0" borderId="12" xfId="0" applyFont="1" applyBorder="1" applyAlignment="1">
      <alignment vertical="center" wrapText="1"/>
    </xf>
    <xf numFmtId="43" fontId="15" fillId="0" borderId="2" xfId="15" applyFont="1" applyBorder="1" applyAlignment="1">
      <alignment horizontal="left"/>
    </xf>
    <xf numFmtId="43" fontId="12" fillId="0" borderId="2" xfId="15" applyFont="1" applyBorder="1" applyAlignment="1">
      <alignment horizontal="center"/>
    </xf>
    <xf numFmtId="165" fontId="15" fillId="0" borderId="1" xfId="15" applyNumberFormat="1" applyFont="1" applyBorder="1" applyAlignment="1">
      <alignment horizontal="right" vertical="center"/>
    </xf>
    <xf numFmtId="43" fontId="12" fillId="0" borderId="2" xfId="15" applyFont="1" applyBorder="1" applyAlignment="1">
      <alignment horizontal="left"/>
    </xf>
    <xf numFmtId="0" fontId="13" fillId="0" borderId="10" xfId="0" applyFont="1" applyBorder="1" applyAlignment="1">
      <alignment vertical="center"/>
    </xf>
    <xf numFmtId="0" fontId="13" fillId="0" borderId="12" xfId="0" applyFont="1" applyBorder="1" applyAlignment="1">
      <alignment/>
    </xf>
    <xf numFmtId="0" fontId="12" fillId="0" borderId="12" xfId="0" applyFont="1" applyFill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2" xfId="0" applyFont="1" applyBorder="1" applyAlignment="1">
      <alignment/>
    </xf>
    <xf numFmtId="164" fontId="13" fillId="0" borderId="1" xfId="0" applyNumberFormat="1" applyFont="1" applyBorder="1" applyAlignment="1" quotePrefix="1">
      <alignment horizontal="center"/>
    </xf>
    <xf numFmtId="0" fontId="16" fillId="0" borderId="2" xfId="0" applyFont="1" applyBorder="1" applyAlignment="1">
      <alignment/>
    </xf>
    <xf numFmtId="0" fontId="12" fillId="0" borderId="2" xfId="0" applyFont="1" applyFill="1" applyBorder="1" applyAlignment="1">
      <alignment/>
    </xf>
    <xf numFmtId="0" fontId="13" fillId="0" borderId="2" xfId="0" applyFont="1" applyBorder="1" applyAlignment="1">
      <alignment/>
    </xf>
    <xf numFmtId="0" fontId="12" fillId="0" borderId="2" xfId="0" applyFont="1" applyBorder="1" applyAlignment="1" quotePrefix="1">
      <alignment horizontal="center"/>
    </xf>
    <xf numFmtId="164" fontId="13" fillId="0" borderId="11" xfId="0" applyNumberFormat="1" applyFont="1" applyBorder="1" applyAlignment="1">
      <alignment horizontal="center"/>
    </xf>
    <xf numFmtId="0" fontId="12" fillId="0" borderId="11" xfId="0" applyFont="1" applyBorder="1" applyAlignment="1">
      <alignment/>
    </xf>
    <xf numFmtId="165" fontId="12" fillId="0" borderId="11" xfId="0" applyNumberFormat="1" applyFont="1" applyBorder="1" applyAlignment="1">
      <alignment/>
    </xf>
    <xf numFmtId="43" fontId="4" fillId="0" borderId="0" xfId="0" applyNumberFormat="1" applyFont="1" applyAlignment="1">
      <alignment/>
    </xf>
    <xf numFmtId="165" fontId="12" fillId="0" borderId="0" xfId="0" applyNumberFormat="1" applyFont="1" applyBorder="1" applyAlignment="1">
      <alignment/>
    </xf>
    <xf numFmtId="165" fontId="18" fillId="0" borderId="1" xfId="15" applyNumberFormat="1" applyFont="1" applyBorder="1" applyAlignment="1">
      <alignment horizontal="right" vertical="center"/>
    </xf>
    <xf numFmtId="165" fontId="12" fillId="0" borderId="1" xfId="15" applyNumberFormat="1" applyFont="1" applyFill="1" applyBorder="1" applyAlignment="1">
      <alignment/>
    </xf>
    <xf numFmtId="165" fontId="12" fillId="0" borderId="1" xfId="15" applyNumberFormat="1" applyFont="1" applyFill="1" applyBorder="1" applyAlignment="1">
      <alignment vertical="center"/>
    </xf>
    <xf numFmtId="43" fontId="12" fillId="0" borderId="1" xfId="15" applyFont="1" applyFill="1" applyBorder="1" applyAlignment="1">
      <alignment/>
    </xf>
    <xf numFmtId="2" fontId="12" fillId="0" borderId="1" xfId="15" applyNumberFormat="1" applyFont="1" applyFill="1" applyBorder="1" applyAlignment="1">
      <alignment vertical="center"/>
    </xf>
    <xf numFmtId="165" fontId="12" fillId="0" borderId="1" xfId="15" applyNumberFormat="1" applyFont="1" applyFill="1" applyBorder="1" applyAlignment="1">
      <alignment vertical="center" wrapText="1"/>
    </xf>
    <xf numFmtId="165" fontId="12" fillId="0" borderId="1" xfId="15" applyNumberFormat="1" applyFont="1" applyFill="1" applyBorder="1" applyAlignment="1">
      <alignment horizontal="right"/>
    </xf>
    <xf numFmtId="165" fontId="12" fillId="0" borderId="1" xfId="15" applyNumberFormat="1" applyFont="1" applyFill="1" applyBorder="1" applyAlignment="1">
      <alignment horizontal="right" vertical="center"/>
    </xf>
    <xf numFmtId="167" fontId="12" fillId="0" borderId="1" xfId="15" applyNumberFormat="1" applyFont="1" applyFill="1" applyBorder="1" applyAlignment="1">
      <alignment horizontal="right" vertical="center"/>
    </xf>
    <xf numFmtId="164" fontId="12" fillId="0" borderId="1" xfId="15" applyNumberFormat="1" applyFont="1" applyFill="1" applyBorder="1" applyAlignment="1">
      <alignment vertical="center"/>
    </xf>
    <xf numFmtId="165" fontId="12" fillId="0" borderId="2" xfId="15" applyNumberFormat="1" applyFont="1" applyBorder="1" applyAlignment="1">
      <alignment/>
    </xf>
    <xf numFmtId="0" fontId="13" fillId="0" borderId="2" xfId="0" applyFont="1" applyFill="1" applyBorder="1" applyAlignment="1">
      <alignment horizontal="left"/>
    </xf>
    <xf numFmtId="165" fontId="13" fillId="0" borderId="1" xfId="0" applyNumberFormat="1" applyFont="1" applyBorder="1" applyAlignment="1">
      <alignment/>
    </xf>
    <xf numFmtId="169" fontId="13" fillId="0" borderId="1" xfId="15" applyNumberFormat="1" applyFont="1" applyBorder="1" applyAlignment="1">
      <alignment/>
    </xf>
    <xf numFmtId="165" fontId="13" fillId="0" borderId="1" xfId="15" applyNumberFormat="1" applyFont="1" applyBorder="1" applyAlignment="1">
      <alignment/>
    </xf>
    <xf numFmtId="165" fontId="12" fillId="0" borderId="1" xfId="0" applyNumberFormat="1" applyFont="1" applyBorder="1" applyAlignment="1">
      <alignment/>
    </xf>
    <xf numFmtId="43" fontId="12" fillId="0" borderId="1" xfId="0" applyNumberFormat="1" applyFont="1" applyBorder="1" applyAlignment="1">
      <alignment/>
    </xf>
    <xf numFmtId="0" fontId="16" fillId="2" borderId="1" xfId="0" applyFont="1" applyFill="1" applyBorder="1" applyAlignment="1">
      <alignment horizontal="left" vertical="center"/>
    </xf>
    <xf numFmtId="0" fontId="19" fillId="0" borderId="0" xfId="0" applyFont="1" applyAlignment="1">
      <alignment/>
    </xf>
    <xf numFmtId="0" fontId="12" fillId="0" borderId="1" xfId="0" applyFont="1" applyFill="1" applyBorder="1" applyAlignment="1">
      <alignment/>
    </xf>
    <xf numFmtId="165" fontId="12" fillId="0" borderId="2" xfId="0" applyNumberFormat="1" applyFont="1" applyBorder="1" applyAlignment="1">
      <alignment/>
    </xf>
    <xf numFmtId="167" fontId="12" fillId="0" borderId="1" xfId="15" applyNumberFormat="1" applyFont="1" applyBorder="1" applyAlignment="1">
      <alignment/>
    </xf>
    <xf numFmtId="0" fontId="12" fillId="0" borderId="2" xfId="0" applyFont="1" applyBorder="1" applyAlignment="1">
      <alignment wrapText="1"/>
    </xf>
    <xf numFmtId="165" fontId="12" fillId="0" borderId="2" xfId="15" applyNumberFormat="1" applyFont="1" applyBorder="1" applyAlignment="1">
      <alignment vertical="center"/>
    </xf>
    <xf numFmtId="0" fontId="12" fillId="0" borderId="2" xfId="0" applyFont="1" applyBorder="1" applyAlignment="1" quotePrefix="1">
      <alignment horizontal="left"/>
    </xf>
    <xf numFmtId="0" fontId="12" fillId="0" borderId="2" xfId="0" applyFont="1" applyFill="1" applyBorder="1" applyAlignment="1">
      <alignment horizontal="center" vertical="center"/>
    </xf>
    <xf numFmtId="43" fontId="12" fillId="0" borderId="2" xfId="0" applyNumberFormat="1" applyFont="1" applyBorder="1" applyAlignment="1">
      <alignment/>
    </xf>
    <xf numFmtId="0" fontId="12" fillId="0" borderId="2" xfId="0" applyFont="1" applyBorder="1" applyAlignment="1" quotePrefix="1">
      <alignment/>
    </xf>
    <xf numFmtId="167" fontId="16" fillId="0" borderId="2" xfId="0" applyNumberFormat="1" applyFont="1" applyBorder="1" applyAlignment="1">
      <alignment/>
    </xf>
    <xf numFmtId="165" fontId="16" fillId="0" borderId="2" xfId="0" applyNumberFormat="1" applyFont="1" applyBorder="1" applyAlignment="1">
      <alignment/>
    </xf>
    <xf numFmtId="10" fontId="12" fillId="0" borderId="1" xfId="19" applyNumberFormat="1" applyFont="1" applyBorder="1" applyAlignment="1">
      <alignment/>
    </xf>
    <xf numFmtId="0" fontId="13" fillId="0" borderId="13" xfId="0" applyFont="1" applyBorder="1" applyAlignment="1">
      <alignment/>
    </xf>
    <xf numFmtId="164" fontId="13" fillId="0" borderId="14" xfId="0" applyNumberFormat="1" applyFont="1" applyBorder="1" applyAlignment="1">
      <alignment/>
    </xf>
    <xf numFmtId="165" fontId="13" fillId="0" borderId="2" xfId="0" applyNumberFormat="1" applyFont="1" applyBorder="1" applyAlignment="1">
      <alignment/>
    </xf>
    <xf numFmtId="0" fontId="13" fillId="0" borderId="2" xfId="0" applyFont="1" applyFill="1" applyBorder="1" applyAlignment="1">
      <alignment/>
    </xf>
    <xf numFmtId="43" fontId="13" fillId="0" borderId="1" xfId="15" applyNumberFormat="1" applyFont="1" applyBorder="1" applyAlignment="1">
      <alignment/>
    </xf>
    <xf numFmtId="10" fontId="12" fillId="0" borderId="2" xfId="19" applyNumberFormat="1" applyFont="1" applyBorder="1" applyAlignment="1">
      <alignment/>
    </xf>
    <xf numFmtId="0" fontId="12" fillId="0" borderId="0" xfId="0" applyFont="1" applyAlignment="1">
      <alignment/>
    </xf>
    <xf numFmtId="0" fontId="12" fillId="0" borderId="2" xfId="0" applyFont="1" applyFill="1" applyBorder="1" applyAlignment="1">
      <alignment wrapText="1"/>
    </xf>
    <xf numFmtId="1" fontId="12" fillId="0" borderId="1" xfId="15" applyNumberFormat="1" applyFont="1" applyBorder="1" applyAlignment="1">
      <alignment vertical="center"/>
    </xf>
    <xf numFmtId="164" fontId="12" fillId="0" borderId="1" xfId="15" applyNumberFormat="1" applyFont="1" applyBorder="1" applyAlignment="1">
      <alignment vertical="center"/>
    </xf>
    <xf numFmtId="10" fontId="12" fillId="0" borderId="1" xfId="19" applyNumberFormat="1" applyFont="1" applyBorder="1" applyAlignment="1">
      <alignment horizontal="right" vertical="center"/>
    </xf>
    <xf numFmtId="0" fontId="13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167" fontId="12" fillId="0" borderId="1" xfId="0" applyNumberFormat="1" applyFont="1" applyBorder="1" applyAlignment="1">
      <alignment/>
    </xf>
    <xf numFmtId="164" fontId="13" fillId="0" borderId="11" xfId="0" applyNumberFormat="1" applyFont="1" applyBorder="1" applyAlignment="1" quotePrefix="1">
      <alignment horizontal="center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164" fontId="13" fillId="0" borderId="15" xfId="0" applyNumberFormat="1" applyFont="1" applyBorder="1" applyAlignment="1" quotePrefix="1">
      <alignment horizontal="center"/>
    </xf>
    <xf numFmtId="0" fontId="12" fillId="0" borderId="16" xfId="0" applyFont="1" applyBorder="1" applyAlignment="1">
      <alignment/>
    </xf>
    <xf numFmtId="0" fontId="12" fillId="0" borderId="16" xfId="0" applyFont="1" applyBorder="1" applyAlignment="1">
      <alignment horizontal="center" vertical="center"/>
    </xf>
    <xf numFmtId="165" fontId="12" fillId="0" borderId="15" xfId="0" applyNumberFormat="1" applyFont="1" applyBorder="1" applyAlignment="1">
      <alignment/>
    </xf>
    <xf numFmtId="165" fontId="12" fillId="0" borderId="15" xfId="15" applyNumberFormat="1" applyFont="1" applyBorder="1" applyAlignment="1">
      <alignment/>
    </xf>
    <xf numFmtId="43" fontId="12" fillId="0" borderId="15" xfId="0" applyNumberFormat="1" applyFont="1" applyBorder="1" applyAlignment="1">
      <alignment/>
    </xf>
    <xf numFmtId="10" fontId="12" fillId="0" borderId="16" xfId="19" applyNumberFormat="1" applyFont="1" applyBorder="1" applyAlignment="1">
      <alignment vertical="center"/>
    </xf>
    <xf numFmtId="0" fontId="19" fillId="0" borderId="1" xfId="0" applyFont="1" applyBorder="1" applyAlignment="1">
      <alignment/>
    </xf>
    <xf numFmtId="10" fontId="12" fillId="0" borderId="15" xfId="19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14" fillId="0" borderId="5" xfId="0" applyNumberFormat="1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165" fontId="12" fillId="0" borderId="11" xfId="15" applyNumberFormat="1" applyFont="1" applyBorder="1" applyAlignment="1">
      <alignment horizontal="right" vertical="center"/>
    </xf>
    <xf numFmtId="165" fontId="12" fillId="0" borderId="11" xfId="15" applyNumberFormat="1" applyFont="1" applyBorder="1" applyAlignment="1">
      <alignment vertical="center"/>
    </xf>
    <xf numFmtId="10" fontId="12" fillId="0" borderId="11" xfId="19" applyNumberFormat="1" applyFont="1" applyBorder="1" applyAlignment="1">
      <alignment vertical="center"/>
    </xf>
    <xf numFmtId="10" fontId="12" fillId="0" borderId="10" xfId="19" applyNumberFormat="1" applyFont="1" applyBorder="1" applyAlignment="1">
      <alignment vertical="center"/>
    </xf>
    <xf numFmtId="164" fontId="13" fillId="0" borderId="15" xfId="0" applyNumberFormat="1" applyFont="1" applyBorder="1" applyAlignment="1" quotePrefix="1">
      <alignment horizontal="center" vertical="center"/>
    </xf>
    <xf numFmtId="0" fontId="13" fillId="0" borderId="16" xfId="0" applyFont="1" applyBorder="1" applyAlignment="1">
      <alignment vertical="center" wrapText="1"/>
    </xf>
    <xf numFmtId="0" fontId="12" fillId="0" borderId="15" xfId="0" applyFont="1" applyBorder="1" applyAlignment="1">
      <alignment horizontal="center" vertical="center"/>
    </xf>
    <xf numFmtId="165" fontId="12" fillId="0" borderId="15" xfId="15" applyNumberFormat="1" applyFont="1" applyBorder="1" applyAlignment="1">
      <alignment horizontal="right" vertical="center"/>
    </xf>
    <xf numFmtId="165" fontId="12" fillId="0" borderId="15" xfId="15" applyNumberFormat="1" applyFont="1" applyBorder="1" applyAlignment="1">
      <alignment vertical="center"/>
    </xf>
    <xf numFmtId="10" fontId="12" fillId="0" borderId="15" xfId="19" applyNumberFormat="1" applyFont="1" applyBorder="1" applyAlignment="1">
      <alignment vertical="center"/>
    </xf>
    <xf numFmtId="0" fontId="12" fillId="0" borderId="10" xfId="0" applyFont="1" applyBorder="1" applyAlignment="1">
      <alignment/>
    </xf>
    <xf numFmtId="43" fontId="12" fillId="0" borderId="11" xfId="15" applyFont="1" applyBorder="1" applyAlignment="1">
      <alignment/>
    </xf>
    <xf numFmtId="165" fontId="12" fillId="0" borderId="11" xfId="15" applyNumberFormat="1" applyFont="1" applyBorder="1" applyAlignment="1">
      <alignment/>
    </xf>
    <xf numFmtId="43" fontId="12" fillId="0" borderId="11" xfId="15" applyFont="1" applyFill="1" applyBorder="1" applyAlignment="1">
      <alignment/>
    </xf>
    <xf numFmtId="10" fontId="12" fillId="0" borderId="11" xfId="19" applyNumberFormat="1" applyFont="1" applyBorder="1" applyAlignment="1">
      <alignment/>
    </xf>
    <xf numFmtId="0" fontId="12" fillId="0" borderId="16" xfId="0" applyFont="1" applyBorder="1" applyAlignment="1">
      <alignment horizontal="left" vertical="center"/>
    </xf>
    <xf numFmtId="0" fontId="12" fillId="0" borderId="1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1"/>
  <sheetViews>
    <sheetView tabSelected="1" workbookViewId="0" topLeftCell="A4">
      <pane xSplit="2" ySplit="5" topLeftCell="C141" activePane="bottomRight" state="frozen"/>
      <selection pane="topLeft" activeCell="A4" sqref="A4"/>
      <selection pane="topRight" activeCell="C4" sqref="C4"/>
      <selection pane="bottomLeft" activeCell="A9" sqref="A9"/>
      <selection pane="bottomRight" activeCell="D157" sqref="D157"/>
    </sheetView>
  </sheetViews>
  <sheetFormatPr defaultColWidth="9.140625" defaultRowHeight="12.75"/>
  <cols>
    <col min="1" max="1" width="5.00390625" style="6" customWidth="1"/>
    <col min="2" max="2" width="24.7109375" style="6" customWidth="1"/>
    <col min="3" max="3" width="8.7109375" style="6" customWidth="1"/>
    <col min="4" max="4" width="10.57421875" style="6" customWidth="1"/>
    <col min="5" max="5" width="10.140625" style="6" customWidth="1"/>
    <col min="6" max="6" width="11.140625" style="6" customWidth="1"/>
    <col min="7" max="7" width="11.00390625" style="6" customWidth="1"/>
    <col min="8" max="8" width="9.8515625" style="6" customWidth="1"/>
    <col min="9" max="9" width="9.28125" style="6" customWidth="1"/>
    <col min="10" max="10" width="9.140625" style="6" customWidth="1"/>
    <col min="11" max="11" width="11.57421875" style="6" bestFit="1" customWidth="1"/>
    <col min="12" max="16384" width="9.140625" style="6" customWidth="1"/>
  </cols>
  <sheetData>
    <row r="1" spans="1:9" ht="15.75">
      <c r="A1" s="1" t="s">
        <v>149</v>
      </c>
      <c r="B1" s="2"/>
      <c r="C1" s="3"/>
      <c r="D1" s="4"/>
      <c r="E1" s="5"/>
      <c r="F1" s="5"/>
      <c r="G1" s="5"/>
      <c r="H1" s="5"/>
      <c r="I1" s="5"/>
    </row>
    <row r="2" spans="1:9" ht="15.75">
      <c r="A2" s="3"/>
      <c r="B2" s="7"/>
      <c r="C2" s="3"/>
      <c r="D2" s="8"/>
      <c r="E2" s="9"/>
      <c r="F2" s="5"/>
      <c r="G2" s="5"/>
      <c r="H2" s="5"/>
      <c r="I2" s="5"/>
    </row>
    <row r="3" spans="1:9" ht="16.5">
      <c r="A3" s="176" t="s">
        <v>150</v>
      </c>
      <c r="B3" s="176"/>
      <c r="C3" s="176"/>
      <c r="D3" s="176"/>
      <c r="E3" s="176"/>
      <c r="F3" s="176"/>
      <c r="G3" s="176"/>
      <c r="H3" s="176"/>
      <c r="I3" s="176"/>
    </row>
    <row r="4" spans="1:9" ht="15.75">
      <c r="A4" s="177" t="s">
        <v>159</v>
      </c>
      <c r="B4" s="177"/>
      <c r="C4" s="177"/>
      <c r="D4" s="177"/>
      <c r="E4" s="177"/>
      <c r="F4" s="177"/>
      <c r="G4" s="177"/>
      <c r="H4" s="177"/>
      <c r="I4" s="177"/>
    </row>
    <row r="5" spans="1:9" ht="15.75">
      <c r="A5" s="7"/>
      <c r="B5" s="10"/>
      <c r="C5" s="8"/>
      <c r="D5" s="11"/>
      <c r="E5" s="5"/>
      <c r="F5" s="11"/>
      <c r="G5" s="12"/>
      <c r="H5" s="5"/>
      <c r="I5" s="5"/>
    </row>
    <row r="6" spans="1:9" ht="25.5" customHeight="1">
      <c r="A6" s="178" t="s">
        <v>146</v>
      </c>
      <c r="B6" s="178" t="s">
        <v>0</v>
      </c>
      <c r="C6" s="179" t="s">
        <v>1</v>
      </c>
      <c r="D6" s="179" t="s">
        <v>155</v>
      </c>
      <c r="E6" s="179" t="s">
        <v>151</v>
      </c>
      <c r="F6" s="179" t="s">
        <v>160</v>
      </c>
      <c r="G6" s="179" t="s">
        <v>154</v>
      </c>
      <c r="H6" s="181" t="s">
        <v>2</v>
      </c>
      <c r="I6" s="182"/>
    </row>
    <row r="7" spans="1:9" ht="25.5" customHeight="1">
      <c r="A7" s="178"/>
      <c r="B7" s="178"/>
      <c r="C7" s="180"/>
      <c r="D7" s="180"/>
      <c r="E7" s="180"/>
      <c r="F7" s="180"/>
      <c r="G7" s="180"/>
      <c r="H7" s="56" t="s">
        <v>3</v>
      </c>
      <c r="I7" s="55" t="s">
        <v>4</v>
      </c>
    </row>
    <row r="8" spans="1:9" ht="15.75">
      <c r="A8" s="57" t="s">
        <v>5</v>
      </c>
      <c r="B8" s="58" t="s">
        <v>6</v>
      </c>
      <c r="C8" s="55" t="s">
        <v>7</v>
      </c>
      <c r="D8" s="59">
        <v>1</v>
      </c>
      <c r="E8" s="56">
        <v>2</v>
      </c>
      <c r="F8" s="56"/>
      <c r="G8" s="56">
        <v>3</v>
      </c>
      <c r="H8" s="56" t="s">
        <v>8</v>
      </c>
      <c r="I8" s="55" t="s">
        <v>9</v>
      </c>
    </row>
    <row r="9" spans="1:9" ht="15.75">
      <c r="A9" s="27" t="s">
        <v>5</v>
      </c>
      <c r="B9" s="28" t="s">
        <v>145</v>
      </c>
      <c r="C9" s="29"/>
      <c r="D9" s="60"/>
      <c r="E9" s="30"/>
      <c r="F9" s="30"/>
      <c r="G9" s="31"/>
      <c r="H9" s="26"/>
      <c r="I9" s="32"/>
    </row>
    <row r="10" spans="1:9" ht="15.75">
      <c r="A10" s="27" t="s">
        <v>10</v>
      </c>
      <c r="B10" s="28" t="s">
        <v>11</v>
      </c>
      <c r="C10" s="29"/>
      <c r="D10" s="60"/>
      <c r="E10" s="30"/>
      <c r="F10" s="33"/>
      <c r="G10" s="33"/>
      <c r="H10" s="26"/>
      <c r="I10" s="32"/>
    </row>
    <row r="11" spans="1:9" ht="15.75">
      <c r="A11" s="27"/>
      <c r="B11" s="34" t="s">
        <v>12</v>
      </c>
      <c r="C11" s="29" t="s">
        <v>13</v>
      </c>
      <c r="D11" s="23">
        <f>+D13+D23</f>
        <v>149216.4</v>
      </c>
      <c r="E11" s="23">
        <f>+E13+E23</f>
        <v>193630</v>
      </c>
      <c r="F11" s="23">
        <f>+F13+F23</f>
        <v>45383</v>
      </c>
      <c r="G11" s="23">
        <f>+G13+G23</f>
        <v>152127</v>
      </c>
      <c r="H11" s="26">
        <f>G11/D11</f>
        <v>1.0195058988154118</v>
      </c>
      <c r="I11" s="32">
        <f>G11/E11</f>
        <v>0.7856582141197128</v>
      </c>
    </row>
    <row r="12" spans="1:9" ht="15.75">
      <c r="A12" s="35" t="s">
        <v>14</v>
      </c>
      <c r="B12" s="34" t="s">
        <v>15</v>
      </c>
      <c r="C12" s="29" t="s">
        <v>13</v>
      </c>
      <c r="D12" s="24">
        <f>+D13+D25</f>
        <v>119079.2</v>
      </c>
      <c r="E12" s="24">
        <f>+E13+E25</f>
        <v>143200</v>
      </c>
      <c r="F12" s="36">
        <f>+F13+F25</f>
        <v>41033</v>
      </c>
      <c r="G12" s="24">
        <f>+G13+G25</f>
        <v>121357</v>
      </c>
      <c r="H12" s="26">
        <f>G12/D12</f>
        <v>1.0191284456059497</v>
      </c>
      <c r="I12" s="32">
        <f>G12/E12</f>
        <v>0.8474650837988826</v>
      </c>
    </row>
    <row r="13" spans="1:9" ht="15.75">
      <c r="A13" s="37"/>
      <c r="B13" s="34" t="s">
        <v>16</v>
      </c>
      <c r="C13" s="29" t="s">
        <v>13</v>
      </c>
      <c r="D13" s="25">
        <f>+D15+D20</f>
        <v>115913</v>
      </c>
      <c r="E13" s="25">
        <f>E15+E20</f>
        <v>138000</v>
      </c>
      <c r="F13" s="25">
        <f>F20+F23</f>
        <v>40708</v>
      </c>
      <c r="G13" s="25">
        <f>G15+G20</f>
        <v>118091</v>
      </c>
      <c r="H13" s="26">
        <f>G13/D13</f>
        <v>1.0187899545348666</v>
      </c>
      <c r="I13" s="32">
        <f>G13/E13</f>
        <v>0.855731884057971</v>
      </c>
    </row>
    <row r="14" spans="1:9" ht="15.75">
      <c r="A14" s="37"/>
      <c r="B14" s="61" t="s">
        <v>22</v>
      </c>
      <c r="C14" s="62"/>
      <c r="D14" s="25"/>
      <c r="E14" s="25"/>
      <c r="F14" s="64"/>
      <c r="G14" s="65"/>
      <c r="H14" s="26"/>
      <c r="I14" s="32"/>
    </row>
    <row r="15" spans="1:9" ht="15.75">
      <c r="A15" s="37"/>
      <c r="B15" s="66" t="s">
        <v>23</v>
      </c>
      <c r="C15" s="67" t="s">
        <v>24</v>
      </c>
      <c r="D15" s="63">
        <v>64458</v>
      </c>
      <c r="E15" s="69">
        <f>+E16</f>
        <v>58000</v>
      </c>
      <c r="F15" s="68"/>
      <c r="G15" s="68">
        <v>66448</v>
      </c>
      <c r="H15" s="26">
        <f>G15/D15</f>
        <v>1.0308728164075833</v>
      </c>
      <c r="I15" s="32">
        <f>G15/E15</f>
        <v>1.145655172413793</v>
      </c>
    </row>
    <row r="16" spans="1:9" ht="15.75">
      <c r="A16" s="37"/>
      <c r="B16" s="66" t="s">
        <v>17</v>
      </c>
      <c r="C16" s="70" t="s">
        <v>13</v>
      </c>
      <c r="D16" s="63">
        <v>64458</v>
      </c>
      <c r="E16" s="71">
        <v>58000</v>
      </c>
      <c r="F16" s="63">
        <f>G16-63824</f>
        <v>2624</v>
      </c>
      <c r="G16" s="68">
        <v>66448</v>
      </c>
      <c r="H16" s="26">
        <f>G16/D16</f>
        <v>1.0308728164075833</v>
      </c>
      <c r="I16" s="32">
        <f>G16/E16</f>
        <v>1.145655172413793</v>
      </c>
    </row>
    <row r="17" spans="1:9" ht="15.75">
      <c r="A17" s="37"/>
      <c r="B17" s="66" t="s">
        <v>18</v>
      </c>
      <c r="C17" s="72" t="s">
        <v>19</v>
      </c>
      <c r="D17" s="73">
        <f>+D18/D16*10</f>
        <v>60.35449439945391</v>
      </c>
      <c r="E17" s="73">
        <v>6.25</v>
      </c>
      <c r="F17" s="73">
        <f>F18/F16*10</f>
        <v>72.88871951219512</v>
      </c>
      <c r="G17" s="73">
        <f>+G18/G16*10</f>
        <v>67.14724295689864</v>
      </c>
      <c r="H17" s="26">
        <f>G17/D17</f>
        <v>1.1125475182094506</v>
      </c>
      <c r="I17" s="32">
        <f>G17/E17</f>
        <v>10.743558873103781</v>
      </c>
    </row>
    <row r="18" spans="1:9" ht="15.75">
      <c r="A18" s="37"/>
      <c r="B18" s="66" t="s">
        <v>20</v>
      </c>
      <c r="C18" s="67" t="s">
        <v>21</v>
      </c>
      <c r="D18" s="119">
        <v>389033</v>
      </c>
      <c r="E18" s="74">
        <f>+E17*E16</f>
        <v>362500</v>
      </c>
      <c r="F18" s="63">
        <f>+G18-427054</f>
        <v>19126</v>
      </c>
      <c r="G18" s="63">
        <v>446180</v>
      </c>
      <c r="H18" s="26">
        <f>G18/D18</f>
        <v>1.1468949934838433</v>
      </c>
      <c r="I18" s="32">
        <f>G18/E18</f>
        <v>1.2308413793103448</v>
      </c>
    </row>
    <row r="19" spans="1:9" ht="15.75">
      <c r="A19" s="37"/>
      <c r="B19" s="75" t="s">
        <v>147</v>
      </c>
      <c r="C19" s="70"/>
      <c r="D19" s="73"/>
      <c r="E19" s="63"/>
      <c r="F19" s="68"/>
      <c r="G19" s="63"/>
      <c r="H19" s="26"/>
      <c r="I19" s="32"/>
    </row>
    <row r="20" spans="1:9" ht="15.75">
      <c r="A20" s="37"/>
      <c r="B20" s="66" t="s">
        <v>148</v>
      </c>
      <c r="C20" s="70" t="s">
        <v>13</v>
      </c>
      <c r="D20" s="63">
        <v>51455</v>
      </c>
      <c r="E20" s="71">
        <v>80000</v>
      </c>
      <c r="F20" s="68">
        <f>+G20-15610</f>
        <v>36033</v>
      </c>
      <c r="G20" s="63">
        <v>51643</v>
      </c>
      <c r="H20" s="26">
        <f>G20/D20</f>
        <v>1.0036536779710428</v>
      </c>
      <c r="I20" s="32">
        <f>G20/E20</f>
        <v>0.6455375</v>
      </c>
    </row>
    <row r="21" spans="1:9" ht="15.75">
      <c r="A21" s="37"/>
      <c r="B21" s="66" t="s">
        <v>30</v>
      </c>
      <c r="C21" s="72" t="s">
        <v>19</v>
      </c>
      <c r="D21" s="63"/>
      <c r="E21" s="76">
        <f>+E22/E20</f>
        <v>5.3</v>
      </c>
      <c r="F21" s="68"/>
      <c r="G21" s="63"/>
      <c r="H21" s="26"/>
      <c r="I21" s="32"/>
    </row>
    <row r="22" spans="1:9" ht="15.75">
      <c r="A22" s="37"/>
      <c r="B22" s="66" t="s">
        <v>20</v>
      </c>
      <c r="C22" s="67" t="s">
        <v>21</v>
      </c>
      <c r="D22" s="63"/>
      <c r="E22" s="77">
        <f>+E20*5.3</f>
        <v>424000</v>
      </c>
      <c r="F22" s="68"/>
      <c r="G22" s="63"/>
      <c r="H22" s="26"/>
      <c r="I22" s="32"/>
    </row>
    <row r="23" spans="1:9" ht="15.75">
      <c r="A23" s="78"/>
      <c r="B23" s="79" t="s">
        <v>25</v>
      </c>
      <c r="C23" s="72" t="s">
        <v>13</v>
      </c>
      <c r="D23" s="80">
        <f>+D25+D29+D43+D54</f>
        <v>33303.4</v>
      </c>
      <c r="E23" s="80">
        <f>+E25+E29+E43+E54</f>
        <v>55630</v>
      </c>
      <c r="F23" s="80">
        <f>+F25+F29+F43+F54</f>
        <v>4675</v>
      </c>
      <c r="G23" s="80">
        <f>+G25+G29+G43+G54</f>
        <v>34036</v>
      </c>
      <c r="H23" s="26">
        <f>G23/D23</f>
        <v>1.0219977539830767</v>
      </c>
      <c r="I23" s="32">
        <f>G23/E23</f>
        <v>0.6118281502786267</v>
      </c>
    </row>
    <row r="24" spans="1:9" ht="15.75">
      <c r="A24" s="78"/>
      <c r="B24" s="34" t="s">
        <v>26</v>
      </c>
      <c r="C24" s="72"/>
      <c r="D24" s="24"/>
      <c r="E24" s="24"/>
      <c r="F24" s="24"/>
      <c r="G24" s="24"/>
      <c r="H24" s="26"/>
      <c r="I24" s="32"/>
    </row>
    <row r="25" spans="1:9" ht="15.75">
      <c r="A25" s="78"/>
      <c r="B25" s="82" t="s">
        <v>27</v>
      </c>
      <c r="C25" s="72" t="s">
        <v>13</v>
      </c>
      <c r="D25" s="69">
        <f>2867.55+298.65</f>
        <v>3166.2000000000003</v>
      </c>
      <c r="E25" s="69">
        <v>5200</v>
      </c>
      <c r="F25" s="24">
        <f>+G25-2941</f>
        <v>325</v>
      </c>
      <c r="G25" s="69">
        <v>3266</v>
      </c>
      <c r="H25" s="26">
        <f>G25/D25</f>
        <v>1.0315204345903606</v>
      </c>
      <c r="I25" s="32">
        <f>G25/E25</f>
        <v>0.6280769230769231</v>
      </c>
    </row>
    <row r="26" spans="1:9" ht="15.75">
      <c r="A26" s="78"/>
      <c r="B26" s="82" t="s">
        <v>28</v>
      </c>
      <c r="C26" s="83" t="s">
        <v>29</v>
      </c>
      <c r="D26" s="120">
        <v>1235</v>
      </c>
      <c r="E26" s="84">
        <f>+E25</f>
        <v>5200</v>
      </c>
      <c r="F26" s="121">
        <f>+G26-1175</f>
        <v>257.23</v>
      </c>
      <c r="G26" s="84">
        <v>1432.23</v>
      </c>
      <c r="H26" s="26">
        <f>G26/D26</f>
        <v>1.1597004048582995</v>
      </c>
      <c r="I26" s="32">
        <f>G26/E26</f>
        <v>0.27542884615384616</v>
      </c>
    </row>
    <row r="27" spans="1:9" ht="15.75">
      <c r="A27" s="78"/>
      <c r="B27" s="82" t="s">
        <v>30</v>
      </c>
      <c r="C27" s="72" t="s">
        <v>19</v>
      </c>
      <c r="D27" s="122">
        <f>+D28/D26*10</f>
        <v>52.23</v>
      </c>
      <c r="E27" s="85">
        <f>+E28/E26*10</f>
        <v>57.5</v>
      </c>
      <c r="F27" s="123">
        <f>+F28/F26*10</f>
        <v>171.81528981845042</v>
      </c>
      <c r="G27" s="85">
        <f>+G28/G26*10</f>
        <v>48.9</v>
      </c>
      <c r="H27" s="26">
        <f>G27/D27</f>
        <v>0.9362435381964389</v>
      </c>
      <c r="I27" s="32">
        <f>G27/E27</f>
        <v>0.8504347826086956</v>
      </c>
    </row>
    <row r="28" spans="1:9" ht="15.75">
      <c r="A28" s="78"/>
      <c r="B28" s="86" t="s">
        <v>31</v>
      </c>
      <c r="C28" s="72" t="s">
        <v>32</v>
      </c>
      <c r="D28" s="120">
        <f>+D26*5.223</f>
        <v>6450.405</v>
      </c>
      <c r="E28" s="84">
        <v>29900</v>
      </c>
      <c r="F28" s="121">
        <f>+G28-2584</f>
        <v>4419.6047</v>
      </c>
      <c r="G28" s="84">
        <f>+G26*4.89</f>
        <v>7003.6047</v>
      </c>
      <c r="H28" s="26">
        <f>G28/D28</f>
        <v>1.085762010292377</v>
      </c>
      <c r="I28" s="32">
        <f>G28/E28</f>
        <v>0.23423427090301002</v>
      </c>
    </row>
    <row r="29" spans="1:9" ht="15.75">
      <c r="A29" s="78" t="s">
        <v>33</v>
      </c>
      <c r="B29" s="34" t="s">
        <v>34</v>
      </c>
      <c r="C29" s="87" t="s">
        <v>13</v>
      </c>
      <c r="D29" s="81">
        <f>+D31+D36+D41</f>
        <v>1536.75</v>
      </c>
      <c r="E29" s="81">
        <f>+E31+E36+E41</f>
        <v>3650</v>
      </c>
      <c r="F29" s="81">
        <f>+F31+F36+F41</f>
        <v>258</v>
      </c>
      <c r="G29" s="81">
        <f>+G31+G36+G41</f>
        <v>1467</v>
      </c>
      <c r="H29" s="26">
        <f>G29/D29</f>
        <v>0.9546120058565154</v>
      </c>
      <c r="I29" s="32">
        <f>G29/E29</f>
        <v>0.4019178082191781</v>
      </c>
    </row>
    <row r="30" spans="1:9" ht="15.75">
      <c r="A30" s="78"/>
      <c r="B30" s="34" t="s">
        <v>35</v>
      </c>
      <c r="C30" s="72"/>
      <c r="D30" s="24"/>
      <c r="E30" s="24"/>
      <c r="F30" s="24"/>
      <c r="G30" s="24"/>
      <c r="H30" s="26"/>
      <c r="I30" s="32"/>
    </row>
    <row r="31" spans="1:9" ht="15.75">
      <c r="A31" s="78"/>
      <c r="B31" s="82" t="s">
        <v>36</v>
      </c>
      <c r="C31" s="72" t="s">
        <v>13</v>
      </c>
      <c r="D31" s="69">
        <f>698.7+105.69</f>
        <v>804.3900000000001</v>
      </c>
      <c r="E31" s="69">
        <v>1750</v>
      </c>
      <c r="F31" s="24">
        <f>+G31-648</f>
        <v>110</v>
      </c>
      <c r="G31" s="69">
        <v>758</v>
      </c>
      <c r="H31" s="26">
        <f>G31/D31</f>
        <v>0.9423289697783412</v>
      </c>
      <c r="I31" s="32">
        <f>G31/E31</f>
        <v>0.43314285714285716</v>
      </c>
    </row>
    <row r="32" spans="1:9" ht="15.75">
      <c r="A32" s="78"/>
      <c r="B32" s="82" t="s">
        <v>37</v>
      </c>
      <c r="C32" s="83" t="s">
        <v>29</v>
      </c>
      <c r="D32" s="120">
        <v>397</v>
      </c>
      <c r="E32" s="84">
        <f>+E31</f>
        <v>1750</v>
      </c>
      <c r="F32" s="121">
        <f>+G32-128</f>
        <v>189.51999999999998</v>
      </c>
      <c r="G32" s="84">
        <v>317.52</v>
      </c>
      <c r="H32" s="26">
        <f>G32/D32</f>
        <v>0.7997984886649874</v>
      </c>
      <c r="I32" s="32">
        <f>G32/E32</f>
        <v>0.18144</v>
      </c>
    </row>
    <row r="33" spans="1:9" ht="15.75">
      <c r="A33" s="78"/>
      <c r="B33" s="82" t="s">
        <v>38</v>
      </c>
      <c r="C33" s="72" t="s">
        <v>19</v>
      </c>
      <c r="D33" s="122">
        <f>+D34/D32*10</f>
        <v>132.79999999999998</v>
      </c>
      <c r="E33" s="85">
        <f>+E34/E32*10</f>
        <v>143</v>
      </c>
      <c r="F33" s="123">
        <f>+F34/F32*10</f>
        <v>15.82946390882229</v>
      </c>
      <c r="G33" s="85">
        <f>+G34/G32*10</f>
        <v>48.815822625346435</v>
      </c>
      <c r="H33" s="26">
        <f>G33/D33</f>
        <v>0.3675890257932714</v>
      </c>
      <c r="I33" s="32">
        <f>G33/E33</f>
        <v>0.3413693889884366</v>
      </c>
    </row>
    <row r="34" spans="1:9" ht="15.75">
      <c r="A34" s="78"/>
      <c r="B34" s="88" t="s">
        <v>39</v>
      </c>
      <c r="C34" s="72" t="s">
        <v>32</v>
      </c>
      <c r="D34" s="124">
        <f>+D32*13.28</f>
        <v>5272.16</v>
      </c>
      <c r="E34" s="25">
        <v>25025</v>
      </c>
      <c r="F34" s="121">
        <f>+G34-1250</f>
        <v>300</v>
      </c>
      <c r="G34" s="25">
        <v>1550</v>
      </c>
      <c r="H34" s="26">
        <f>G34/D34</f>
        <v>0.2939971472792935</v>
      </c>
      <c r="I34" s="32">
        <f>G34/E34</f>
        <v>0.061938061938061936</v>
      </c>
    </row>
    <row r="35" spans="1:9" ht="15.75">
      <c r="A35" s="78"/>
      <c r="B35" s="34" t="s">
        <v>40</v>
      </c>
      <c r="C35" s="72"/>
      <c r="D35" s="24"/>
      <c r="E35" s="24"/>
      <c r="F35" s="24"/>
      <c r="G35" s="24"/>
      <c r="H35" s="26"/>
      <c r="I35" s="32"/>
    </row>
    <row r="36" spans="1:9" ht="15.75">
      <c r="A36" s="78"/>
      <c r="B36" s="82" t="s">
        <v>36</v>
      </c>
      <c r="C36" s="72" t="s">
        <v>13</v>
      </c>
      <c r="D36" s="69">
        <f>375.41+78.87</f>
        <v>454.28000000000003</v>
      </c>
      <c r="E36" s="69">
        <v>1100</v>
      </c>
      <c r="F36" s="24">
        <f>+G36-361</f>
        <v>102</v>
      </c>
      <c r="G36" s="69">
        <v>463</v>
      </c>
      <c r="H36" s="26">
        <f>G36/D36</f>
        <v>1.0191952100026416</v>
      </c>
      <c r="I36" s="32">
        <f>G36/E36</f>
        <v>0.4209090909090909</v>
      </c>
    </row>
    <row r="37" spans="1:9" ht="15.75">
      <c r="A37" s="78"/>
      <c r="B37" s="82" t="s">
        <v>37</v>
      </c>
      <c r="C37" s="83" t="s">
        <v>29</v>
      </c>
      <c r="D37" s="120">
        <v>97.5</v>
      </c>
      <c r="E37" s="84">
        <f>+E36</f>
        <v>1100</v>
      </c>
      <c r="F37" s="121">
        <f>+G37-78</f>
        <v>27.709999999999994</v>
      </c>
      <c r="G37" s="84">
        <v>105.71</v>
      </c>
      <c r="H37" s="26">
        <f>G37/D37</f>
        <v>1.0842051282051282</v>
      </c>
      <c r="I37" s="32">
        <f>G37/E37</f>
        <v>0.09609999999999999</v>
      </c>
    </row>
    <row r="38" spans="1:9" ht="15.75">
      <c r="A38" s="78"/>
      <c r="B38" s="82" t="s">
        <v>38</v>
      </c>
      <c r="C38" s="72" t="s">
        <v>19</v>
      </c>
      <c r="D38" s="122">
        <f>+D39/D37*10</f>
        <v>136.1</v>
      </c>
      <c r="E38" s="85">
        <f>+E39/E37*10</f>
        <v>130.5</v>
      </c>
      <c r="F38" s="121">
        <f>+F39/F37*10</f>
        <v>275.53002526163846</v>
      </c>
      <c r="G38" s="85">
        <f>+G39/G37*10</f>
        <v>114.7</v>
      </c>
      <c r="H38" s="26">
        <f>G38/D38</f>
        <v>0.8427626745040412</v>
      </c>
      <c r="I38" s="32">
        <f>G38/E38</f>
        <v>0.8789272030651342</v>
      </c>
    </row>
    <row r="39" spans="1:9" ht="15.75">
      <c r="A39" s="78"/>
      <c r="B39" s="88" t="s">
        <v>39</v>
      </c>
      <c r="C39" s="72" t="s">
        <v>32</v>
      </c>
      <c r="D39" s="121">
        <f>+D37*13.61</f>
        <v>1326.975</v>
      </c>
      <c r="E39" s="24">
        <v>14355</v>
      </c>
      <c r="F39" s="121">
        <f>+G39-449</f>
        <v>763.4937</v>
      </c>
      <c r="G39" s="24">
        <f>+G37*11.47</f>
        <v>1212.4937</v>
      </c>
      <c r="H39" s="26">
        <f>G39/D39</f>
        <v>0.9137276135571507</v>
      </c>
      <c r="I39" s="32">
        <f>G39/E39</f>
        <v>0.08446490421455939</v>
      </c>
    </row>
    <row r="40" spans="1:9" ht="15.75">
      <c r="A40" s="78"/>
      <c r="B40" s="34" t="s">
        <v>41</v>
      </c>
      <c r="C40" s="72"/>
      <c r="D40" s="24"/>
      <c r="E40" s="24"/>
      <c r="F40" s="24"/>
      <c r="G40" s="24"/>
      <c r="H40" s="26"/>
      <c r="I40" s="32"/>
    </row>
    <row r="41" spans="1:9" ht="15.75">
      <c r="A41" s="78"/>
      <c r="B41" s="82" t="s">
        <v>36</v>
      </c>
      <c r="C41" s="72" t="s">
        <v>13</v>
      </c>
      <c r="D41" s="125">
        <f>239.28+38.8</f>
        <v>278.08</v>
      </c>
      <c r="E41" s="69">
        <v>800</v>
      </c>
      <c r="F41" s="121">
        <f>+G41-200</f>
        <v>46</v>
      </c>
      <c r="G41" s="69">
        <v>246</v>
      </c>
      <c r="H41" s="26">
        <f>G41/D41</f>
        <v>0.8846375143843499</v>
      </c>
      <c r="I41" s="32">
        <f>G41/E41</f>
        <v>0.3075</v>
      </c>
    </row>
    <row r="42" spans="1:9" ht="15.75">
      <c r="A42" s="78"/>
      <c r="B42" s="82" t="s">
        <v>37</v>
      </c>
      <c r="C42" s="83" t="s">
        <v>29</v>
      </c>
      <c r="D42" s="124">
        <v>115</v>
      </c>
      <c r="E42" s="25">
        <f>+E41</f>
        <v>800</v>
      </c>
      <c r="F42" s="121">
        <f>+G42-20</f>
        <v>68.3</v>
      </c>
      <c r="G42" s="25">
        <v>88.3</v>
      </c>
      <c r="H42" s="26">
        <f>G42/D42</f>
        <v>0.7678260869565218</v>
      </c>
      <c r="I42" s="32">
        <f>G42/E42</f>
        <v>0.110375</v>
      </c>
    </row>
    <row r="43" spans="1:9" ht="15.75">
      <c r="A43" s="78" t="s">
        <v>42</v>
      </c>
      <c r="B43" s="34" t="s">
        <v>43</v>
      </c>
      <c r="C43" s="72" t="s">
        <v>13</v>
      </c>
      <c r="D43" s="81">
        <f>+D45+D50</f>
        <v>16112.769999999999</v>
      </c>
      <c r="E43" s="81">
        <f>+E45+E50</f>
        <v>30900</v>
      </c>
      <c r="F43" s="81">
        <f>+F45+F50</f>
        <v>3033</v>
      </c>
      <c r="G43" s="81">
        <f>+G45+G50</f>
        <v>16734</v>
      </c>
      <c r="H43" s="26">
        <f>G43/D43</f>
        <v>1.0385551335990026</v>
      </c>
      <c r="I43" s="32">
        <f>G43/E43</f>
        <v>0.5415533980582524</v>
      </c>
    </row>
    <row r="44" spans="1:9" ht="15.75">
      <c r="A44" s="78"/>
      <c r="B44" s="34" t="s">
        <v>44</v>
      </c>
      <c r="C44" s="29"/>
      <c r="D44" s="63"/>
      <c r="E44" s="63"/>
      <c r="F44" s="24"/>
      <c r="G44" s="63"/>
      <c r="H44" s="26"/>
      <c r="I44" s="32"/>
    </row>
    <row r="45" spans="1:9" ht="15.75">
      <c r="A45" s="89"/>
      <c r="B45" s="90" t="s">
        <v>45</v>
      </c>
      <c r="C45" s="91" t="s">
        <v>13</v>
      </c>
      <c r="D45" s="63">
        <f>12487.48+3148.89</f>
        <v>15636.369999999999</v>
      </c>
      <c r="E45" s="63">
        <v>30000</v>
      </c>
      <c r="F45" s="24">
        <f>+G45-13241</f>
        <v>2993</v>
      </c>
      <c r="G45" s="63">
        <v>16234</v>
      </c>
      <c r="H45" s="26">
        <f>G45/D45</f>
        <v>1.0382205077009563</v>
      </c>
      <c r="I45" s="32">
        <f>G45/E45</f>
        <v>0.5411333333333334</v>
      </c>
    </row>
    <row r="46" spans="1:9" ht="15.75">
      <c r="A46" s="89"/>
      <c r="B46" s="82" t="s">
        <v>37</v>
      </c>
      <c r="C46" s="92" t="s">
        <v>29</v>
      </c>
      <c r="D46" s="126">
        <v>11258</v>
      </c>
      <c r="E46" s="63">
        <f>+E45</f>
        <v>30000</v>
      </c>
      <c r="F46" s="121">
        <f>+G46-6034</f>
        <v>5341.5</v>
      </c>
      <c r="G46" s="63">
        <v>11375.5</v>
      </c>
      <c r="H46" s="26">
        <f>G46/D46</f>
        <v>1.0104370225617338</v>
      </c>
      <c r="I46" s="32">
        <f>G46/E46</f>
        <v>0.3791833333333333</v>
      </c>
    </row>
    <row r="47" spans="1:9" ht="15.75">
      <c r="A47" s="89"/>
      <c r="B47" s="82" t="s">
        <v>38</v>
      </c>
      <c r="C47" s="91" t="s">
        <v>19</v>
      </c>
      <c r="D47" s="127">
        <f>+D48/D46*10</f>
        <v>217.5</v>
      </c>
      <c r="E47" s="63">
        <f>+E48/E46*10</f>
        <v>223</v>
      </c>
      <c r="F47" s="123">
        <f>+F48/F46*10</f>
        <v>211.53605728727882</v>
      </c>
      <c r="G47" s="68">
        <f>+G48/G46*10</f>
        <v>214.7</v>
      </c>
      <c r="H47" s="26">
        <f>G47/D47</f>
        <v>0.9871264367816092</v>
      </c>
      <c r="I47" s="32">
        <f>G47/E47</f>
        <v>0.962780269058296</v>
      </c>
    </row>
    <row r="48" spans="1:9" ht="15.75">
      <c r="A48" s="89"/>
      <c r="B48" s="88" t="s">
        <v>39</v>
      </c>
      <c r="C48" s="91" t="s">
        <v>32</v>
      </c>
      <c r="D48" s="126">
        <f>+D46*21.75</f>
        <v>244861.5</v>
      </c>
      <c r="E48" s="63">
        <v>669000</v>
      </c>
      <c r="F48" s="121">
        <f>+G48-131240</f>
        <v>112991.98499999999</v>
      </c>
      <c r="G48" s="63">
        <f>+G46*21.47</f>
        <v>244231.985</v>
      </c>
      <c r="H48" s="26">
        <f>G48/D48</f>
        <v>0.9974290976735828</v>
      </c>
      <c r="I48" s="32">
        <f>G48/E48</f>
        <v>0.36507023168908814</v>
      </c>
    </row>
    <row r="49" spans="1:9" ht="15.75">
      <c r="A49" s="191"/>
      <c r="B49" s="192" t="s">
        <v>46</v>
      </c>
      <c r="C49" s="193"/>
      <c r="D49" s="194"/>
      <c r="E49" s="194"/>
      <c r="F49" s="195"/>
      <c r="G49" s="194"/>
      <c r="H49" s="196"/>
      <c r="I49" s="173"/>
    </row>
    <row r="50" spans="1:9" ht="15.75">
      <c r="A50" s="89"/>
      <c r="B50" s="185" t="s">
        <v>45</v>
      </c>
      <c r="C50" s="186" t="s">
        <v>13</v>
      </c>
      <c r="D50" s="187">
        <f>449+27.4</f>
        <v>476.4</v>
      </c>
      <c r="E50" s="187">
        <v>900</v>
      </c>
      <c r="F50" s="188">
        <f>+G50-460</f>
        <v>40</v>
      </c>
      <c r="G50" s="187">
        <v>500</v>
      </c>
      <c r="H50" s="189">
        <f>G50/D50</f>
        <v>1.0495382031905962</v>
      </c>
      <c r="I50" s="190">
        <f>G50/E50</f>
        <v>0.5555555555555556</v>
      </c>
    </row>
    <row r="51" spans="1:9" ht="15.75">
      <c r="A51" s="89"/>
      <c r="B51" s="82" t="s">
        <v>37</v>
      </c>
      <c r="C51" s="92" t="s">
        <v>29</v>
      </c>
      <c r="D51" s="126">
        <v>198</v>
      </c>
      <c r="E51" s="63">
        <f>+E50</f>
        <v>900</v>
      </c>
      <c r="F51" s="121">
        <f>+G51-127</f>
        <v>105.16</v>
      </c>
      <c r="G51" s="63">
        <v>232.16</v>
      </c>
      <c r="H51" s="26">
        <f>G51/D51</f>
        <v>1.1725252525252525</v>
      </c>
      <c r="I51" s="32">
        <f>G51/E51</f>
        <v>0.25795555555555555</v>
      </c>
    </row>
    <row r="52" spans="1:9" ht="15.75">
      <c r="A52" s="89"/>
      <c r="B52" s="82" t="s">
        <v>38</v>
      </c>
      <c r="C52" s="91" t="s">
        <v>19</v>
      </c>
      <c r="D52" s="127">
        <f>+D53/D51*10</f>
        <v>142.3</v>
      </c>
      <c r="E52" s="63">
        <f>+E53/E51*10</f>
        <v>15</v>
      </c>
      <c r="F52" s="128">
        <f>+F53/F51*10</f>
        <v>125.7125903385318</v>
      </c>
      <c r="G52" s="68">
        <f>+G53/G51*10</f>
        <v>142.10000000000002</v>
      </c>
      <c r="H52" s="26">
        <f>G52/D52</f>
        <v>0.9985945186226284</v>
      </c>
      <c r="I52" s="32">
        <f>G52/E52</f>
        <v>9.473333333333334</v>
      </c>
    </row>
    <row r="53" spans="1:9" ht="15.75">
      <c r="A53" s="89"/>
      <c r="B53" s="88" t="s">
        <v>39</v>
      </c>
      <c r="C53" s="91" t="s">
        <v>32</v>
      </c>
      <c r="D53" s="126">
        <f>+D51*14.23</f>
        <v>2817.54</v>
      </c>
      <c r="E53" s="63">
        <v>1350</v>
      </c>
      <c r="F53" s="121">
        <f>+G53-1977</f>
        <v>1321.9936000000002</v>
      </c>
      <c r="G53" s="63">
        <f>+G51*14.21</f>
        <v>3298.9936000000002</v>
      </c>
      <c r="H53" s="26">
        <f>G53/D53</f>
        <v>1.1708772901183302</v>
      </c>
      <c r="I53" s="32">
        <f>G53/E53</f>
        <v>2.443698962962963</v>
      </c>
    </row>
    <row r="54" spans="1:9" ht="15.75">
      <c r="A54" s="94" t="s">
        <v>47</v>
      </c>
      <c r="B54" s="34" t="s">
        <v>48</v>
      </c>
      <c r="C54" s="72" t="s">
        <v>49</v>
      </c>
      <c r="D54" s="81">
        <f>+D56+D61+D67+D71</f>
        <v>12487.68</v>
      </c>
      <c r="E54" s="81">
        <f>+E56+E61+E67+E71</f>
        <v>15880</v>
      </c>
      <c r="F54" s="81">
        <f>+F56+F61+F67+F71</f>
        <v>1059</v>
      </c>
      <c r="G54" s="81">
        <f>+G56+G61+G67+G71</f>
        <v>12569</v>
      </c>
      <c r="H54" s="26">
        <f>G54/D54</f>
        <v>1.0065120182451823</v>
      </c>
      <c r="I54" s="32">
        <f>G54/E54</f>
        <v>0.7914987405541561</v>
      </c>
    </row>
    <row r="55" spans="1:9" ht="15.75">
      <c r="A55" s="78"/>
      <c r="B55" s="34" t="s">
        <v>50</v>
      </c>
      <c r="C55" s="87" t="s">
        <v>13</v>
      </c>
      <c r="D55" s="97"/>
      <c r="E55" s="96"/>
      <c r="F55" s="24"/>
      <c r="G55" s="97"/>
      <c r="H55" s="26"/>
      <c r="I55" s="32"/>
    </row>
    <row r="56" spans="1:9" ht="15.75">
      <c r="A56" s="78"/>
      <c r="B56" s="82" t="s">
        <v>36</v>
      </c>
      <c r="C56" s="72" t="s">
        <v>13</v>
      </c>
      <c r="D56" s="69">
        <f>3522.68+266.1</f>
        <v>3788.7799999999997</v>
      </c>
      <c r="E56" s="69">
        <v>5000</v>
      </c>
      <c r="F56" s="24">
        <f>+G56-3583</f>
        <v>261</v>
      </c>
      <c r="G56" s="69">
        <v>3844</v>
      </c>
      <c r="H56" s="26">
        <f>G56/D56</f>
        <v>1.014574612408216</v>
      </c>
      <c r="I56" s="32">
        <f>G56/E56</f>
        <v>0.7688</v>
      </c>
    </row>
    <row r="57" spans="1:9" ht="15.75">
      <c r="A57" s="78"/>
      <c r="B57" s="82" t="s">
        <v>37</v>
      </c>
      <c r="C57" s="83" t="s">
        <v>29</v>
      </c>
      <c r="D57" s="120">
        <v>1989</v>
      </c>
      <c r="E57" s="84">
        <f>+E56</f>
        <v>5000</v>
      </c>
      <c r="F57" s="121">
        <f>+G57-1318</f>
        <v>768.46</v>
      </c>
      <c r="G57" s="84">
        <v>2086.46</v>
      </c>
      <c r="H57" s="26">
        <f>G57/D57</f>
        <v>1.0489994972347914</v>
      </c>
      <c r="I57" s="32">
        <f>G57/E57</f>
        <v>0.417292</v>
      </c>
    </row>
    <row r="58" spans="1:9" ht="15.75">
      <c r="A58" s="78"/>
      <c r="B58" s="82" t="s">
        <v>38</v>
      </c>
      <c r="C58" s="72" t="s">
        <v>19</v>
      </c>
      <c r="D58" s="122">
        <f>+D59/D57*10</f>
        <v>45.18</v>
      </c>
      <c r="E58" s="85">
        <f>+E59/E57*10</f>
        <v>51.7</v>
      </c>
      <c r="F58" s="123">
        <f>+F59/F57*10</f>
        <v>84.08344220909349</v>
      </c>
      <c r="G58" s="85">
        <f>+G59/G57*10</f>
        <v>44.699999999999996</v>
      </c>
      <c r="H58" s="26">
        <f>G58/D58</f>
        <v>0.9893758300132801</v>
      </c>
      <c r="I58" s="32">
        <f>G58/E58</f>
        <v>0.8646034816247581</v>
      </c>
    </row>
    <row r="59" spans="1:9" ht="15.75">
      <c r="A59" s="78"/>
      <c r="B59" s="88" t="s">
        <v>39</v>
      </c>
      <c r="C59" s="72" t="s">
        <v>32</v>
      </c>
      <c r="D59" s="121">
        <f>+D57*4.518</f>
        <v>8986.302</v>
      </c>
      <c r="E59" s="24">
        <v>25850</v>
      </c>
      <c r="F59" s="121">
        <f>+G59-2865</f>
        <v>6461.476199999999</v>
      </c>
      <c r="G59" s="24">
        <f>+G57*4.47</f>
        <v>9326.4762</v>
      </c>
      <c r="H59" s="26">
        <f>G59/D59</f>
        <v>1.0378547482601852</v>
      </c>
      <c r="I59" s="32">
        <f>G59/E59</f>
        <v>0.36079211605415856</v>
      </c>
    </row>
    <row r="60" spans="1:9" ht="15.75">
      <c r="A60" s="78"/>
      <c r="B60" s="34" t="s">
        <v>51</v>
      </c>
      <c r="C60" s="72"/>
      <c r="D60" s="95"/>
      <c r="E60" s="24"/>
      <c r="F60" s="24"/>
      <c r="G60" s="95"/>
      <c r="H60" s="26"/>
      <c r="I60" s="32"/>
    </row>
    <row r="61" spans="1:9" ht="15.75">
      <c r="A61" s="78"/>
      <c r="B61" s="82" t="s">
        <v>52</v>
      </c>
      <c r="C61" s="72" t="s">
        <v>13</v>
      </c>
      <c r="D61" s="69">
        <f>5547.55+281.55</f>
        <v>5829.1</v>
      </c>
      <c r="E61" s="69">
        <v>6300</v>
      </c>
      <c r="F61" s="24">
        <f>+G61-5410</f>
        <v>392</v>
      </c>
      <c r="G61" s="69">
        <v>5802</v>
      </c>
      <c r="H61" s="26">
        <f>G61/D61</f>
        <v>0.9953509118045667</v>
      </c>
      <c r="I61" s="32">
        <f>G61/E61</f>
        <v>0.920952380952381</v>
      </c>
    </row>
    <row r="62" spans="1:9" ht="15.75">
      <c r="A62" s="78"/>
      <c r="B62" s="90" t="s">
        <v>53</v>
      </c>
      <c r="C62" s="83" t="s">
        <v>29</v>
      </c>
      <c r="D62" s="24"/>
      <c r="E62" s="24"/>
      <c r="F62" s="24"/>
      <c r="G62" s="24"/>
      <c r="H62" s="26"/>
      <c r="I62" s="32"/>
    </row>
    <row r="63" spans="1:9" ht="15.75">
      <c r="A63" s="78"/>
      <c r="B63" s="82" t="s">
        <v>37</v>
      </c>
      <c r="C63" s="83" t="s">
        <v>29</v>
      </c>
      <c r="D63" s="84">
        <v>4029</v>
      </c>
      <c r="E63" s="84">
        <f>+E61</f>
        <v>6300</v>
      </c>
      <c r="F63" s="24">
        <f>+G63-3328</f>
        <v>542.2600000000002</v>
      </c>
      <c r="G63" s="84">
        <v>3870.26</v>
      </c>
      <c r="H63" s="26">
        <f>G63/D63</f>
        <v>0.9606006453214198</v>
      </c>
      <c r="I63" s="32">
        <f>G63/E63</f>
        <v>0.6143269841269842</v>
      </c>
    </row>
    <row r="64" spans="1:9" ht="15.75">
      <c r="A64" s="78"/>
      <c r="B64" s="82" t="s">
        <v>54</v>
      </c>
      <c r="C64" s="72" t="s">
        <v>19</v>
      </c>
      <c r="D64" s="84">
        <f>+D65/D63*10</f>
        <v>988.9300000000001</v>
      </c>
      <c r="E64" s="84">
        <f>+E65/E63*10</f>
        <v>1100</v>
      </c>
      <c r="F64" s="84">
        <f>+F65/F63*10</f>
        <v>1034.6889978976874</v>
      </c>
      <c r="G64" s="84">
        <f>+G65/G63*10</f>
        <v>955.6</v>
      </c>
      <c r="H64" s="26">
        <f>G64/D64</f>
        <v>0.9662969067578089</v>
      </c>
      <c r="I64" s="32">
        <f>G64/E64</f>
        <v>0.8687272727272728</v>
      </c>
    </row>
    <row r="65" spans="1:9" ht="15.75">
      <c r="A65" s="78"/>
      <c r="B65" s="88" t="s">
        <v>39</v>
      </c>
      <c r="C65" s="72" t="s">
        <v>32</v>
      </c>
      <c r="D65" s="24">
        <f>+D63*98.893</f>
        <v>398439.897</v>
      </c>
      <c r="E65" s="24">
        <v>693000</v>
      </c>
      <c r="F65" s="24">
        <f>+G65-313735</f>
        <v>56107.04560000001</v>
      </c>
      <c r="G65" s="24">
        <f>+G63*95.56</f>
        <v>369842.0456</v>
      </c>
      <c r="H65" s="26">
        <f>G65/D65</f>
        <v>0.9282254322036431</v>
      </c>
      <c r="I65" s="32">
        <f>G65/E65</f>
        <v>0.5336826054834055</v>
      </c>
    </row>
    <row r="66" spans="1:9" ht="15.75">
      <c r="A66" s="78"/>
      <c r="B66" s="93" t="s">
        <v>55</v>
      </c>
      <c r="C66" s="72"/>
      <c r="D66" s="24"/>
      <c r="E66" s="24"/>
      <c r="F66" s="24"/>
      <c r="G66" s="24"/>
      <c r="H66" s="26"/>
      <c r="I66" s="32"/>
    </row>
    <row r="67" spans="1:9" ht="15.75">
      <c r="A67" s="78"/>
      <c r="B67" s="82" t="s">
        <v>36</v>
      </c>
      <c r="C67" s="72" t="s">
        <v>13</v>
      </c>
      <c r="D67" s="24">
        <f>1320.88+142.26</f>
        <v>1463.14</v>
      </c>
      <c r="E67" s="24">
        <v>2500</v>
      </c>
      <c r="F67" s="24">
        <f>+G67-1289</f>
        <v>157</v>
      </c>
      <c r="G67" s="24">
        <v>1446</v>
      </c>
      <c r="H67" s="26">
        <f aca="true" t="shared" si="0" ref="H67:H73">G67/D67</f>
        <v>0.9882854682395396</v>
      </c>
      <c r="I67" s="32">
        <f aca="true" t="shared" si="1" ref="I67:I73">G67/E67</f>
        <v>0.5784</v>
      </c>
    </row>
    <row r="68" spans="1:9" ht="15.75">
      <c r="A68" s="78"/>
      <c r="B68" s="82" t="s">
        <v>37</v>
      </c>
      <c r="C68" s="83" t="s">
        <v>29</v>
      </c>
      <c r="D68" s="84">
        <v>315</v>
      </c>
      <c r="E68" s="84">
        <f>+E67</f>
        <v>2500</v>
      </c>
      <c r="F68" s="24">
        <f>+G68-168</f>
        <v>189.68</v>
      </c>
      <c r="G68" s="84">
        <v>357.68</v>
      </c>
      <c r="H68" s="26">
        <f t="shared" si="0"/>
        <v>1.1354920634920636</v>
      </c>
      <c r="I68" s="32">
        <f t="shared" si="1"/>
        <v>0.143072</v>
      </c>
    </row>
    <row r="69" spans="1:9" ht="15.75">
      <c r="A69" s="78"/>
      <c r="B69" s="82" t="s">
        <v>38</v>
      </c>
      <c r="C69" s="72" t="s">
        <v>19</v>
      </c>
      <c r="D69" s="85">
        <f>+D70/D68*10</f>
        <v>88.11999999999999</v>
      </c>
      <c r="E69" s="85">
        <f>+E70/E68*10</f>
        <v>100</v>
      </c>
      <c r="F69" s="85">
        <f>+F70/F68*10</f>
        <v>78.99780683256009</v>
      </c>
      <c r="G69" s="85">
        <f>+G70/G68*10</f>
        <v>87.8</v>
      </c>
      <c r="H69" s="26">
        <f t="shared" si="0"/>
        <v>0.9963685882886973</v>
      </c>
      <c r="I69" s="32">
        <f t="shared" si="1"/>
        <v>0.878</v>
      </c>
    </row>
    <row r="70" spans="1:9" ht="15.75">
      <c r="A70" s="78"/>
      <c r="B70" s="98" t="s">
        <v>39</v>
      </c>
      <c r="C70" s="72" t="s">
        <v>32</v>
      </c>
      <c r="D70" s="24">
        <f>+D68*8.812</f>
        <v>2775.7799999999997</v>
      </c>
      <c r="E70" s="24">
        <v>25000</v>
      </c>
      <c r="F70" s="24">
        <f>+G70-1642</f>
        <v>1498.4303999999997</v>
      </c>
      <c r="G70" s="24">
        <f>+G68*8.78</f>
        <v>3140.4303999999997</v>
      </c>
      <c r="H70" s="26">
        <f t="shared" si="0"/>
        <v>1.131368624314607</v>
      </c>
      <c r="I70" s="32">
        <f t="shared" si="1"/>
        <v>0.12561721599999998</v>
      </c>
    </row>
    <row r="71" spans="1:9" ht="15.75">
      <c r="A71" s="78"/>
      <c r="B71" s="99" t="s">
        <v>56</v>
      </c>
      <c r="C71" s="100" t="s">
        <v>57</v>
      </c>
      <c r="D71" s="101">
        <f>D72+D73</f>
        <v>1406.66</v>
      </c>
      <c r="E71" s="101">
        <f>SUM(E72:E73)</f>
        <v>2080</v>
      </c>
      <c r="F71" s="101">
        <f>SUM(F72:F73)</f>
        <v>249</v>
      </c>
      <c r="G71" s="101">
        <f>G72+G73</f>
        <v>1477</v>
      </c>
      <c r="H71" s="26">
        <f t="shared" si="0"/>
        <v>1.050004976326902</v>
      </c>
      <c r="I71" s="32">
        <f t="shared" si="1"/>
        <v>0.7100961538461539</v>
      </c>
    </row>
    <row r="72" spans="1:9" ht="15.75">
      <c r="A72" s="78"/>
      <c r="B72" s="102" t="s">
        <v>58</v>
      </c>
      <c r="C72" s="100" t="s">
        <v>13</v>
      </c>
      <c r="D72" s="63">
        <f>1192+67.16</f>
        <v>1259.16</v>
      </c>
      <c r="E72" s="63">
        <v>1900</v>
      </c>
      <c r="F72" s="24">
        <f>+G72-1121</f>
        <v>128</v>
      </c>
      <c r="G72" s="63">
        <v>1249</v>
      </c>
      <c r="H72" s="26">
        <f t="shared" si="0"/>
        <v>0.9919311286889672</v>
      </c>
      <c r="I72" s="32">
        <f t="shared" si="1"/>
        <v>0.6573684210526316</v>
      </c>
    </row>
    <row r="73" spans="1:9" ht="15.75">
      <c r="A73" s="78"/>
      <c r="B73" s="102" t="s">
        <v>59</v>
      </c>
      <c r="C73" s="100" t="s">
        <v>57</v>
      </c>
      <c r="D73" s="63">
        <f>69+78.5</f>
        <v>147.5</v>
      </c>
      <c r="E73" s="63">
        <v>180</v>
      </c>
      <c r="F73" s="24">
        <f>+G73-107</f>
        <v>121</v>
      </c>
      <c r="G73" s="63">
        <v>228</v>
      </c>
      <c r="H73" s="26">
        <f t="shared" si="0"/>
        <v>1.5457627118644068</v>
      </c>
      <c r="I73" s="32">
        <f t="shared" si="1"/>
        <v>1.2666666666666666</v>
      </c>
    </row>
    <row r="74" spans="1:9" ht="15.75">
      <c r="A74" s="94">
        <v>2</v>
      </c>
      <c r="B74" s="103" t="s">
        <v>60</v>
      </c>
      <c r="C74" s="72"/>
      <c r="D74" s="60"/>
      <c r="E74" s="60"/>
      <c r="F74" s="60"/>
      <c r="G74" s="60"/>
      <c r="H74" s="26"/>
      <c r="I74" s="32"/>
    </row>
    <row r="75" spans="1:9" ht="15.75">
      <c r="A75" s="94">
        <v>3</v>
      </c>
      <c r="B75" s="103" t="s">
        <v>61</v>
      </c>
      <c r="C75" s="72"/>
      <c r="D75" s="60"/>
      <c r="E75" s="24"/>
      <c r="F75" s="24"/>
      <c r="G75" s="24"/>
      <c r="H75" s="26"/>
      <c r="I75" s="32"/>
    </row>
    <row r="76" spans="1:9" ht="15.75">
      <c r="A76" s="94" t="s">
        <v>62</v>
      </c>
      <c r="B76" s="104" t="s">
        <v>63</v>
      </c>
      <c r="C76" s="105"/>
      <c r="D76" s="60"/>
      <c r="E76" s="24"/>
      <c r="F76" s="24"/>
      <c r="G76" s="95"/>
      <c r="H76" s="26"/>
      <c r="I76" s="32"/>
    </row>
    <row r="77" spans="1:9" ht="15.75">
      <c r="A77" s="106" t="s">
        <v>6</v>
      </c>
      <c r="B77" s="75" t="s">
        <v>64</v>
      </c>
      <c r="C77" s="107"/>
      <c r="D77" s="115"/>
      <c r="E77" s="97"/>
      <c r="F77" s="97"/>
      <c r="G77" s="97"/>
      <c r="H77" s="26"/>
      <c r="I77" s="32"/>
    </row>
    <row r="78" spans="1:9" ht="15.75">
      <c r="A78" s="106" t="s">
        <v>65</v>
      </c>
      <c r="B78" s="61" t="s">
        <v>66</v>
      </c>
      <c r="C78" s="70"/>
      <c r="D78" s="97"/>
      <c r="E78" s="97"/>
      <c r="F78" s="97"/>
      <c r="G78" s="97"/>
      <c r="H78" s="26"/>
      <c r="I78" s="32"/>
    </row>
    <row r="79" spans="1:9" ht="15.75">
      <c r="A79" s="106" t="s">
        <v>14</v>
      </c>
      <c r="B79" s="108" t="s">
        <v>67</v>
      </c>
      <c r="C79" s="70" t="s">
        <v>13</v>
      </c>
      <c r="D79" s="97"/>
      <c r="E79" s="97"/>
      <c r="F79" s="97"/>
      <c r="G79" s="97"/>
      <c r="H79" s="26"/>
      <c r="I79" s="32"/>
    </row>
    <row r="80" spans="1:9" ht="15.75">
      <c r="A80" s="109"/>
      <c r="B80" s="110" t="s">
        <v>68</v>
      </c>
      <c r="C80" s="70"/>
      <c r="D80" s="108"/>
      <c r="E80" s="97"/>
      <c r="F80" s="97"/>
      <c r="G80" s="97"/>
      <c r="H80" s="26"/>
      <c r="I80" s="32"/>
    </row>
    <row r="81" spans="1:9" ht="15.75">
      <c r="A81" s="109"/>
      <c r="B81" s="108" t="s">
        <v>69</v>
      </c>
      <c r="C81" s="72" t="s">
        <v>70</v>
      </c>
      <c r="D81" s="108"/>
      <c r="E81" s="108"/>
      <c r="F81" s="108"/>
      <c r="G81" s="97"/>
      <c r="H81" s="26"/>
      <c r="I81" s="32"/>
    </row>
    <row r="82" spans="1:9" ht="15.75">
      <c r="A82" s="109"/>
      <c r="B82" s="111" t="s">
        <v>71</v>
      </c>
      <c r="C82" s="72" t="s">
        <v>70</v>
      </c>
      <c r="D82" s="108"/>
      <c r="E82" s="97"/>
      <c r="F82" s="97"/>
      <c r="G82" s="97"/>
      <c r="H82" s="26"/>
      <c r="I82" s="32"/>
    </row>
    <row r="83" spans="1:9" ht="15.75">
      <c r="A83" s="109"/>
      <c r="B83" s="108" t="s">
        <v>72</v>
      </c>
      <c r="C83" s="72" t="s">
        <v>70</v>
      </c>
      <c r="D83" s="108"/>
      <c r="E83" s="97"/>
      <c r="F83" s="97"/>
      <c r="G83" s="97"/>
      <c r="H83" s="26"/>
      <c r="I83" s="32"/>
    </row>
    <row r="84" spans="1:9" ht="15.75">
      <c r="A84" s="109"/>
      <c r="B84" s="88" t="s">
        <v>73</v>
      </c>
      <c r="C84" s="70" t="s">
        <v>13</v>
      </c>
      <c r="D84" s="108"/>
      <c r="E84" s="97"/>
      <c r="F84" s="97"/>
      <c r="G84" s="97"/>
      <c r="H84" s="26"/>
      <c r="I84" s="32"/>
    </row>
    <row r="85" spans="1:9" ht="15.75">
      <c r="A85" s="106" t="s">
        <v>33</v>
      </c>
      <c r="B85" s="108" t="s">
        <v>74</v>
      </c>
      <c r="C85" s="70" t="s">
        <v>13</v>
      </c>
      <c r="D85" s="108"/>
      <c r="E85" s="97"/>
      <c r="F85" s="97"/>
      <c r="G85" s="97"/>
      <c r="H85" s="26"/>
      <c r="I85" s="32"/>
    </row>
    <row r="86" spans="1:9" ht="15.75">
      <c r="A86" s="106" t="s">
        <v>42</v>
      </c>
      <c r="B86" s="108" t="s">
        <v>75</v>
      </c>
      <c r="C86" s="70" t="s">
        <v>13</v>
      </c>
      <c r="D86" s="108"/>
      <c r="E86" s="97"/>
      <c r="F86" s="97"/>
      <c r="G86" s="97"/>
      <c r="H86" s="26"/>
      <c r="I86" s="32"/>
    </row>
    <row r="87" spans="1:9" ht="15.75">
      <c r="A87" s="106" t="s">
        <v>76</v>
      </c>
      <c r="B87" s="108" t="s">
        <v>77</v>
      </c>
      <c r="C87" s="70" t="s">
        <v>13</v>
      </c>
      <c r="D87" s="129"/>
      <c r="E87" s="84"/>
      <c r="F87" s="97"/>
      <c r="G87" s="84"/>
      <c r="H87" s="26"/>
      <c r="I87" s="32"/>
    </row>
    <row r="88" spans="1:9" ht="15.75">
      <c r="A88" s="106" t="s">
        <v>78</v>
      </c>
      <c r="B88" s="108" t="s">
        <v>79</v>
      </c>
      <c r="C88" s="70" t="s">
        <v>80</v>
      </c>
      <c r="D88" s="129"/>
      <c r="E88" s="84"/>
      <c r="F88" s="97"/>
      <c r="G88" s="97"/>
      <c r="H88" s="26"/>
      <c r="I88" s="32"/>
    </row>
    <row r="89" spans="1:9" ht="15.75">
      <c r="A89" s="109" t="s">
        <v>81</v>
      </c>
      <c r="B89" s="112" t="s">
        <v>82</v>
      </c>
      <c r="C89" s="113"/>
      <c r="D89" s="108"/>
      <c r="E89" s="97"/>
      <c r="F89" s="97"/>
      <c r="G89" s="97"/>
      <c r="H89" s="26"/>
      <c r="I89" s="32"/>
    </row>
    <row r="90" spans="1:9" ht="16.5">
      <c r="A90" s="109"/>
      <c r="B90" s="108" t="s">
        <v>83</v>
      </c>
      <c r="C90" s="70" t="s">
        <v>156</v>
      </c>
      <c r="D90" s="108"/>
      <c r="E90" s="97"/>
      <c r="F90" s="97"/>
      <c r="G90" s="97"/>
      <c r="H90" s="26"/>
      <c r="I90" s="32"/>
    </row>
    <row r="91" spans="1:9" ht="15.75">
      <c r="A91" s="109"/>
      <c r="B91" s="108" t="s">
        <v>157</v>
      </c>
      <c r="C91" s="72" t="s">
        <v>70</v>
      </c>
      <c r="D91" s="108"/>
      <c r="E91" s="97"/>
      <c r="F91" s="97"/>
      <c r="G91" s="97"/>
      <c r="H91" s="26"/>
      <c r="I91" s="32"/>
    </row>
    <row r="92" spans="1:9" ht="15.75">
      <c r="A92" s="106" t="s">
        <v>7</v>
      </c>
      <c r="B92" s="130" t="s">
        <v>84</v>
      </c>
      <c r="C92" s="113"/>
      <c r="D92" s="97"/>
      <c r="E92" s="97"/>
      <c r="F92" s="97"/>
      <c r="G92" s="97"/>
      <c r="H92" s="26"/>
      <c r="I92" s="32"/>
    </row>
    <row r="93" spans="1:9" ht="15.75">
      <c r="A93" s="114" t="s">
        <v>85</v>
      </c>
      <c r="B93" s="75" t="s">
        <v>86</v>
      </c>
      <c r="C93" s="107"/>
      <c r="D93" s="26"/>
      <c r="E93" s="115"/>
      <c r="F93" s="116"/>
      <c r="G93" s="26"/>
      <c r="H93" s="32"/>
      <c r="I93" s="97"/>
    </row>
    <row r="94" spans="1:11" ht="15.75">
      <c r="A94" s="109" t="s">
        <v>65</v>
      </c>
      <c r="B94" s="112" t="s">
        <v>87</v>
      </c>
      <c r="C94" s="70" t="s">
        <v>13</v>
      </c>
      <c r="D94" s="131">
        <f>D95+D102</f>
        <v>32590.32</v>
      </c>
      <c r="E94" s="131">
        <f>E95+E102</f>
        <v>52290</v>
      </c>
      <c r="F94" s="131">
        <f>F95+F102</f>
        <v>2861.350000000001</v>
      </c>
      <c r="G94" s="131">
        <f>G95+G102</f>
        <v>38136.89000000001</v>
      </c>
      <c r="H94" s="26">
        <f>G94/D94</f>
        <v>1.1701907192074212</v>
      </c>
      <c r="I94" s="32">
        <f aca="true" t="shared" si="2" ref="I94:I100">G94/E94</f>
        <v>0.729334289539109</v>
      </c>
      <c r="K94" s="39"/>
    </row>
    <row r="95" spans="1:11" ht="15.75">
      <c r="A95" s="106" t="s">
        <v>14</v>
      </c>
      <c r="B95" s="112" t="s">
        <v>88</v>
      </c>
      <c r="C95" s="72" t="s">
        <v>70</v>
      </c>
      <c r="D95" s="132">
        <f>D96+D99+D101</f>
        <v>484</v>
      </c>
      <c r="E95" s="133">
        <f>E96+E99+E101</f>
        <v>12000</v>
      </c>
      <c r="F95" s="132">
        <f>F96+F99+F101</f>
        <v>248.60999999999999</v>
      </c>
      <c r="G95" s="132">
        <f>G96+G99+G101</f>
        <v>851.3</v>
      </c>
      <c r="H95" s="26">
        <f>G95/D95</f>
        <v>1.758884297520661</v>
      </c>
      <c r="I95" s="32">
        <f t="shared" si="2"/>
        <v>0.07094166666666667</v>
      </c>
      <c r="K95" s="40"/>
    </row>
    <row r="96" spans="1:11" ht="15.75">
      <c r="A96" s="167"/>
      <c r="B96" s="168" t="s">
        <v>89</v>
      </c>
      <c r="C96" s="169" t="s">
        <v>70</v>
      </c>
      <c r="D96" s="170">
        <v>453</v>
      </c>
      <c r="E96" s="171">
        <v>10600</v>
      </c>
      <c r="F96" s="170">
        <f>G96-557.04</f>
        <v>234.76</v>
      </c>
      <c r="G96" s="172">
        <v>791.8</v>
      </c>
      <c r="H96" s="196">
        <f>G96/D96</f>
        <v>1.7479028697571743</v>
      </c>
      <c r="I96" s="173">
        <f t="shared" si="2"/>
        <v>0.07469811320754717</v>
      </c>
      <c r="K96" s="41"/>
    </row>
    <row r="97" spans="1:11" ht="15.75">
      <c r="A97" s="164"/>
      <c r="B97" s="197" t="s">
        <v>90</v>
      </c>
      <c r="C97" s="166" t="s">
        <v>70</v>
      </c>
      <c r="D97" s="198">
        <v>12.95</v>
      </c>
      <c r="E97" s="199">
        <v>70</v>
      </c>
      <c r="F97" s="198">
        <f>G97-3.54</f>
        <v>3.4299999999999997</v>
      </c>
      <c r="G97" s="200">
        <v>6.97</v>
      </c>
      <c r="H97" s="189">
        <f>G97/D97</f>
        <v>0.5382239382239382</v>
      </c>
      <c r="I97" s="190">
        <f t="shared" si="2"/>
        <v>0.09957142857142857</v>
      </c>
      <c r="K97" s="42"/>
    </row>
    <row r="98" spans="1:11" ht="15.75">
      <c r="A98" s="109"/>
      <c r="B98" s="136" t="s">
        <v>152</v>
      </c>
      <c r="C98" s="72" t="s">
        <v>70</v>
      </c>
      <c r="D98" s="137"/>
      <c r="E98" s="84">
        <v>305</v>
      </c>
      <c r="F98" s="85">
        <f>G98-103.5</f>
        <v>10.200000000000003</v>
      </c>
      <c r="G98" s="122">
        <v>113.7</v>
      </c>
      <c r="H98" s="26"/>
      <c r="I98" s="32">
        <f t="shared" si="2"/>
        <v>0.37278688524590164</v>
      </c>
      <c r="K98" s="42"/>
    </row>
    <row r="99" spans="1:12" ht="15.75">
      <c r="A99" s="109"/>
      <c r="B99" s="108" t="s">
        <v>91</v>
      </c>
      <c r="C99" s="72" t="s">
        <v>70</v>
      </c>
      <c r="D99" s="135">
        <v>31</v>
      </c>
      <c r="E99" s="84">
        <v>1300</v>
      </c>
      <c r="F99" s="134">
        <f>F100</f>
        <v>13.850000000000001</v>
      </c>
      <c r="G99" s="135">
        <f>G100</f>
        <v>59.5</v>
      </c>
      <c r="H99" s="26">
        <f aca="true" t="shared" si="3" ref="H99:H110">G99/D99</f>
        <v>1.9193548387096775</v>
      </c>
      <c r="I99" s="32">
        <f t="shared" si="2"/>
        <v>0.04576923076923077</v>
      </c>
      <c r="K99" s="41"/>
      <c r="L99" s="117"/>
    </row>
    <row r="100" spans="1:11" ht="15.75">
      <c r="A100" s="109"/>
      <c r="B100" s="108" t="s">
        <v>92</v>
      </c>
      <c r="C100" s="72" t="s">
        <v>70</v>
      </c>
      <c r="D100" s="135">
        <v>31</v>
      </c>
      <c r="E100" s="84">
        <f>+E99</f>
        <v>1300</v>
      </c>
      <c r="F100" s="134">
        <f>G100-45.65</f>
        <v>13.850000000000001</v>
      </c>
      <c r="G100" s="135">
        <v>59.5</v>
      </c>
      <c r="H100" s="26">
        <f t="shared" si="3"/>
        <v>1.9193548387096775</v>
      </c>
      <c r="I100" s="32">
        <f t="shared" si="2"/>
        <v>0.04576923076923077</v>
      </c>
      <c r="K100" s="41"/>
    </row>
    <row r="101" spans="1:11" ht="15.75">
      <c r="A101" s="109"/>
      <c r="B101" s="108" t="s">
        <v>93</v>
      </c>
      <c r="C101" s="72" t="s">
        <v>70</v>
      </c>
      <c r="D101" s="137">
        <v>0</v>
      </c>
      <c r="E101" s="138">
        <v>100</v>
      </c>
      <c r="F101" s="134"/>
      <c r="G101" s="108"/>
      <c r="H101" s="26"/>
      <c r="I101" s="32"/>
      <c r="K101" s="43"/>
    </row>
    <row r="102" spans="1:12" ht="15.75">
      <c r="A102" s="106" t="s">
        <v>33</v>
      </c>
      <c r="B102" s="112" t="s">
        <v>94</v>
      </c>
      <c r="C102" s="70" t="s">
        <v>13</v>
      </c>
      <c r="D102" s="133">
        <f>D103+D106+D110</f>
        <v>32106.32</v>
      </c>
      <c r="E102" s="133">
        <f>E103+E106+E110</f>
        <v>40290</v>
      </c>
      <c r="F102" s="133">
        <f>F103+F106+F110</f>
        <v>2612.7400000000007</v>
      </c>
      <c r="G102" s="133">
        <f>G103+G106+G110</f>
        <v>37285.590000000004</v>
      </c>
      <c r="H102" s="26">
        <f t="shared" si="3"/>
        <v>1.16131621437773</v>
      </c>
      <c r="I102" s="32">
        <f>G102/E102</f>
        <v>0.9254303797468355</v>
      </c>
      <c r="K102" s="44"/>
      <c r="L102" s="117"/>
    </row>
    <row r="103" spans="1:11" ht="15.75">
      <c r="A103" s="109"/>
      <c r="B103" s="108" t="s">
        <v>89</v>
      </c>
      <c r="C103" s="72"/>
      <c r="D103" s="139"/>
      <c r="E103" s="84"/>
      <c r="F103" s="97"/>
      <c r="G103" s="139"/>
      <c r="H103" s="26"/>
      <c r="I103" s="32"/>
      <c r="K103" s="45"/>
    </row>
    <row r="104" spans="1:11" ht="15.75">
      <c r="A104" s="109"/>
      <c r="B104" s="108" t="s">
        <v>95</v>
      </c>
      <c r="C104" s="72" t="s">
        <v>70</v>
      </c>
      <c r="D104" s="108"/>
      <c r="E104" s="84"/>
      <c r="F104" s="97"/>
      <c r="G104" s="139"/>
      <c r="H104" s="26"/>
      <c r="I104" s="32"/>
      <c r="K104" s="45"/>
    </row>
    <row r="105" spans="1:11" ht="15.75">
      <c r="A105" s="109"/>
      <c r="B105" s="108" t="s">
        <v>96</v>
      </c>
      <c r="C105" s="72"/>
      <c r="D105" s="137"/>
      <c r="E105" s="84"/>
      <c r="F105" s="97"/>
      <c r="G105" s="108"/>
      <c r="H105" s="26"/>
      <c r="I105" s="32"/>
      <c r="K105" s="43"/>
    </row>
    <row r="106" spans="1:11" ht="15.75">
      <c r="A106" s="109"/>
      <c r="B106" s="108" t="s">
        <v>91</v>
      </c>
      <c r="C106" s="72" t="s">
        <v>70</v>
      </c>
      <c r="D106" s="140">
        <f>D107+D108+D109</f>
        <v>32006.32</v>
      </c>
      <c r="E106" s="140">
        <f>E107+E108+E109</f>
        <v>38790</v>
      </c>
      <c r="F106" s="140">
        <f>F107+F108+F109</f>
        <v>2612.7400000000007</v>
      </c>
      <c r="G106" s="140">
        <f>G107+G108+G109</f>
        <v>37158.79</v>
      </c>
      <c r="H106" s="26">
        <f t="shared" si="3"/>
        <v>1.1609828933785578</v>
      </c>
      <c r="I106" s="32">
        <f>G106/E106</f>
        <v>0.9579476669244651</v>
      </c>
      <c r="K106" s="46"/>
    </row>
    <row r="107" spans="1:11" ht="15.75">
      <c r="A107" s="109"/>
      <c r="B107" s="108" t="s">
        <v>97</v>
      </c>
      <c r="C107" s="72" t="s">
        <v>70</v>
      </c>
      <c r="D107" s="134">
        <v>18570</v>
      </c>
      <c r="E107" s="84">
        <v>19000</v>
      </c>
      <c r="F107" s="134">
        <f>G107-16680.7</f>
        <v>1104.0900000000001</v>
      </c>
      <c r="G107" s="134">
        <v>17784.79</v>
      </c>
      <c r="H107" s="26">
        <f t="shared" si="3"/>
        <v>0.9577162089391492</v>
      </c>
      <c r="I107" s="32">
        <f>G107/E107</f>
        <v>0.9360415789473685</v>
      </c>
      <c r="K107" s="45"/>
    </row>
    <row r="108" spans="1:11" ht="15.75">
      <c r="A108" s="109"/>
      <c r="B108" s="108" t="s">
        <v>98</v>
      </c>
      <c r="C108" s="72" t="s">
        <v>70</v>
      </c>
      <c r="D108" s="134">
        <v>1002</v>
      </c>
      <c r="E108" s="84">
        <v>4240</v>
      </c>
      <c r="F108" s="134">
        <f>G108-3617.45</f>
        <v>389.5500000000002</v>
      </c>
      <c r="G108" s="134">
        <v>4007</v>
      </c>
      <c r="H108" s="26">
        <f t="shared" si="3"/>
        <v>3.999001996007984</v>
      </c>
      <c r="I108" s="32">
        <f>G108/E108</f>
        <v>0.9450471698113208</v>
      </c>
      <c r="K108" s="45"/>
    </row>
    <row r="109" spans="1:11" ht="15.75">
      <c r="A109" s="109"/>
      <c r="B109" s="108" t="s">
        <v>99</v>
      </c>
      <c r="C109" s="72" t="s">
        <v>70</v>
      </c>
      <c r="D109" s="134">
        <v>12434.32</v>
      </c>
      <c r="E109" s="84">
        <v>15550</v>
      </c>
      <c r="F109" s="134">
        <f>G109-14247.9</f>
        <v>1119.1000000000004</v>
      </c>
      <c r="G109" s="134">
        <v>15367</v>
      </c>
      <c r="H109" s="26">
        <f t="shared" si="3"/>
        <v>1.235853669521132</v>
      </c>
      <c r="I109" s="32">
        <f>G109/E109</f>
        <v>0.9882315112540193</v>
      </c>
      <c r="K109" s="45"/>
    </row>
    <row r="110" spans="1:11" ht="26.25">
      <c r="A110" s="109"/>
      <c r="B110" s="141" t="s">
        <v>100</v>
      </c>
      <c r="C110" s="72" t="s">
        <v>70</v>
      </c>
      <c r="D110" s="142">
        <v>100</v>
      </c>
      <c r="E110" s="24">
        <v>1500</v>
      </c>
      <c r="F110" s="23">
        <f>G110-126.8</f>
        <v>0</v>
      </c>
      <c r="G110" s="142">
        <v>126.8</v>
      </c>
      <c r="H110" s="26">
        <f t="shared" si="3"/>
        <v>1.268</v>
      </c>
      <c r="I110" s="32">
        <f>G110/E110</f>
        <v>0.08453333333333334</v>
      </c>
      <c r="K110" s="47"/>
    </row>
    <row r="111" spans="1:11" ht="16.5">
      <c r="A111" s="109" t="s">
        <v>81</v>
      </c>
      <c r="B111" s="61" t="s">
        <v>101</v>
      </c>
      <c r="C111" s="70" t="s">
        <v>156</v>
      </c>
      <c r="D111" s="108"/>
      <c r="E111" s="97"/>
      <c r="F111" s="97"/>
      <c r="G111" s="108"/>
      <c r="H111" s="26"/>
      <c r="I111" s="32"/>
      <c r="K111" s="43"/>
    </row>
    <row r="112" spans="1:11" ht="15.75">
      <c r="A112" s="109"/>
      <c r="B112" s="143" t="s">
        <v>102</v>
      </c>
      <c r="C112" s="72" t="s">
        <v>70</v>
      </c>
      <c r="D112" s="108"/>
      <c r="E112" s="97"/>
      <c r="F112" s="97"/>
      <c r="G112" s="108"/>
      <c r="H112" s="26"/>
      <c r="I112" s="32"/>
      <c r="K112" s="43"/>
    </row>
    <row r="113" spans="1:11" ht="15.75">
      <c r="A113" s="109"/>
      <c r="B113" s="143" t="s">
        <v>103</v>
      </c>
      <c r="C113" s="72" t="s">
        <v>70</v>
      </c>
      <c r="D113" s="108"/>
      <c r="E113" s="97"/>
      <c r="F113" s="97"/>
      <c r="G113" s="108"/>
      <c r="H113" s="26"/>
      <c r="I113" s="32"/>
      <c r="K113" s="43"/>
    </row>
    <row r="114" spans="1:11" ht="15.75">
      <c r="A114" s="109"/>
      <c r="B114" s="143" t="s">
        <v>104</v>
      </c>
      <c r="C114" s="72" t="s">
        <v>70</v>
      </c>
      <c r="D114" s="108"/>
      <c r="E114" s="97"/>
      <c r="F114" s="97"/>
      <c r="G114" s="108"/>
      <c r="H114" s="26"/>
      <c r="I114" s="32"/>
      <c r="K114" s="43"/>
    </row>
    <row r="115" spans="1:11" ht="15.75">
      <c r="A115" s="109" t="s">
        <v>105</v>
      </c>
      <c r="B115" s="112" t="s">
        <v>106</v>
      </c>
      <c r="C115" s="144" t="s">
        <v>107</v>
      </c>
      <c r="D115" s="145"/>
      <c r="E115" s="97"/>
      <c r="F115" s="97"/>
      <c r="G115" s="108"/>
      <c r="H115" s="26"/>
      <c r="I115" s="32"/>
      <c r="K115" s="43"/>
    </row>
    <row r="116" spans="1:11" ht="15.75">
      <c r="A116" s="109"/>
      <c r="B116" s="146" t="s">
        <v>108</v>
      </c>
      <c r="C116" s="144" t="s">
        <v>70</v>
      </c>
      <c r="D116" s="145"/>
      <c r="E116" s="97"/>
      <c r="F116" s="97"/>
      <c r="G116" s="145"/>
      <c r="H116" s="26"/>
      <c r="I116" s="32"/>
      <c r="K116" s="41"/>
    </row>
    <row r="117" spans="1:11" ht="15.75">
      <c r="A117" s="109"/>
      <c r="B117" s="146" t="s">
        <v>109</v>
      </c>
      <c r="C117" s="144" t="s">
        <v>70</v>
      </c>
      <c r="D117" s="147"/>
      <c r="E117" s="97"/>
      <c r="F117" s="97"/>
      <c r="G117" s="145"/>
      <c r="H117" s="26"/>
      <c r="I117" s="32"/>
      <c r="K117" s="41"/>
    </row>
    <row r="118" spans="1:11" ht="15.75">
      <c r="A118" s="109"/>
      <c r="B118" s="146" t="s">
        <v>110</v>
      </c>
      <c r="C118" s="144" t="s">
        <v>70</v>
      </c>
      <c r="D118" s="174"/>
      <c r="E118" s="148"/>
      <c r="F118" s="148"/>
      <c r="G118" s="147"/>
      <c r="H118" s="149"/>
      <c r="I118" s="32"/>
      <c r="K118" s="48"/>
    </row>
    <row r="119" spans="1:11" ht="15.75">
      <c r="A119" s="150">
        <v>4</v>
      </c>
      <c r="B119" s="151" t="s">
        <v>111</v>
      </c>
      <c r="C119" s="70" t="s">
        <v>32</v>
      </c>
      <c r="D119" s="152">
        <f>+D120+D138</f>
        <v>45215.979999999996</v>
      </c>
      <c r="E119" s="152">
        <f>+E120+E137</f>
        <v>172650</v>
      </c>
      <c r="F119" s="152">
        <f>+F120+F137</f>
        <v>15496.35</v>
      </c>
      <c r="G119" s="152">
        <f>+G120+G137</f>
        <v>57154.45</v>
      </c>
      <c r="H119" s="149">
        <f>+G119/D119</f>
        <v>1.2640320966171694</v>
      </c>
      <c r="I119" s="32">
        <f>G119/E119</f>
        <v>0.3310422820735592</v>
      </c>
      <c r="K119" s="49"/>
    </row>
    <row r="120" spans="1:11" ht="15.75">
      <c r="A120" s="109" t="s">
        <v>112</v>
      </c>
      <c r="B120" s="153" t="s">
        <v>113</v>
      </c>
      <c r="C120" s="70" t="s">
        <v>32</v>
      </c>
      <c r="D120" s="154">
        <f>D121+D128</f>
        <v>21440.57</v>
      </c>
      <c r="E120" s="133">
        <f>E121+E128</f>
        <v>96850</v>
      </c>
      <c r="F120" s="133">
        <f>F121+F128</f>
        <v>9379.85</v>
      </c>
      <c r="G120" s="133">
        <f>G121+G128</f>
        <v>28038.54</v>
      </c>
      <c r="H120" s="149">
        <f aca="true" t="shared" si="4" ref="H120:H154">+G120/D120</f>
        <v>1.3077329567264304</v>
      </c>
      <c r="I120" s="32">
        <f>G120/E120</f>
        <v>0.28950480123902944</v>
      </c>
      <c r="K120" s="50"/>
    </row>
    <row r="121" spans="1:11" ht="15.75">
      <c r="A121" s="106" t="s">
        <v>114</v>
      </c>
      <c r="B121" s="112" t="s">
        <v>88</v>
      </c>
      <c r="C121" s="70" t="s">
        <v>32</v>
      </c>
      <c r="D121" s="133">
        <f>D122+D124+D126</f>
        <v>17276.88</v>
      </c>
      <c r="E121" s="133">
        <f>E122+E125+E127</f>
        <v>54150</v>
      </c>
      <c r="F121" s="133">
        <f>F122+F125+F127</f>
        <v>4359.78</v>
      </c>
      <c r="G121" s="133">
        <f>G122+G125+G127</f>
        <v>18393.870000000003</v>
      </c>
      <c r="H121" s="149">
        <f t="shared" si="4"/>
        <v>1.0646522983316433</v>
      </c>
      <c r="I121" s="32">
        <f>G121/E121</f>
        <v>0.33968365650969534</v>
      </c>
      <c r="J121" s="117"/>
      <c r="K121" s="44"/>
    </row>
    <row r="122" spans="1:11" ht="15.75">
      <c r="A122" s="109"/>
      <c r="B122" s="108" t="s">
        <v>115</v>
      </c>
      <c r="C122" s="72" t="s">
        <v>70</v>
      </c>
      <c r="D122" s="135">
        <v>17048.18</v>
      </c>
      <c r="E122" s="84">
        <v>53500</v>
      </c>
      <c r="F122" s="135">
        <f>G122-13758.7</f>
        <v>4338.48</v>
      </c>
      <c r="G122" s="134">
        <f>G123+G124+4467</f>
        <v>18097.18</v>
      </c>
      <c r="H122" s="149">
        <f t="shared" si="4"/>
        <v>1.0615314948575156</v>
      </c>
      <c r="I122" s="32">
        <f>G122/E122</f>
        <v>0.33826504672897195</v>
      </c>
      <c r="K122" s="41"/>
    </row>
    <row r="123" spans="1:11" ht="15.75">
      <c r="A123" s="109"/>
      <c r="B123" s="110" t="s">
        <v>153</v>
      </c>
      <c r="C123" s="72" t="s">
        <v>70</v>
      </c>
      <c r="D123" s="134">
        <v>6964.1</v>
      </c>
      <c r="E123" s="84">
        <v>15500</v>
      </c>
      <c r="F123" s="134">
        <f>G123-2491</f>
        <v>650</v>
      </c>
      <c r="G123" s="134">
        <v>3141</v>
      </c>
      <c r="H123" s="149">
        <f t="shared" si="4"/>
        <v>0.45102741201303825</v>
      </c>
      <c r="I123" s="155">
        <f>+G123/E123</f>
        <v>0.2026451612903226</v>
      </c>
      <c r="K123" s="45"/>
    </row>
    <row r="124" spans="1:11" ht="15.75">
      <c r="A124" s="109"/>
      <c r="B124" s="136" t="s">
        <v>152</v>
      </c>
      <c r="C124" s="72" t="s">
        <v>70</v>
      </c>
      <c r="D124" s="134">
        <v>195.5</v>
      </c>
      <c r="E124" s="84">
        <v>18000</v>
      </c>
      <c r="F124" s="134">
        <f>G124-8100</f>
        <v>2389.1800000000003</v>
      </c>
      <c r="G124" s="134">
        <v>10489.18</v>
      </c>
      <c r="H124" s="149">
        <f t="shared" si="4"/>
        <v>53.65309462915601</v>
      </c>
      <c r="I124" s="155">
        <f>+G124/E124</f>
        <v>0.5827322222222222</v>
      </c>
      <c r="K124" s="45"/>
    </row>
    <row r="125" spans="1:11" ht="15.75">
      <c r="A125" s="109"/>
      <c r="B125" s="108" t="s">
        <v>116</v>
      </c>
      <c r="C125" s="72" t="s">
        <v>70</v>
      </c>
      <c r="D125" s="134">
        <v>195.5</v>
      </c>
      <c r="E125" s="84">
        <f>+E126</f>
        <v>650</v>
      </c>
      <c r="F125" s="135">
        <f>F126</f>
        <v>7.799999999999983</v>
      </c>
      <c r="G125" s="134">
        <f>G126</f>
        <v>245.29</v>
      </c>
      <c r="H125" s="149">
        <f t="shared" si="4"/>
        <v>1.254680306905371</v>
      </c>
      <c r="I125" s="155">
        <f>+G125/E125</f>
        <v>0.37736923076923073</v>
      </c>
      <c r="K125" s="45"/>
    </row>
    <row r="126" spans="1:11" ht="15.75">
      <c r="A126" s="109"/>
      <c r="B126" s="108" t="s">
        <v>117</v>
      </c>
      <c r="C126" s="72" t="s">
        <v>70</v>
      </c>
      <c r="D126" s="135">
        <v>33.2</v>
      </c>
      <c r="E126" s="84">
        <v>650</v>
      </c>
      <c r="F126" s="135">
        <f>G126-237.49</f>
        <v>7.799999999999983</v>
      </c>
      <c r="G126" s="134">
        <v>245.29</v>
      </c>
      <c r="H126" s="149">
        <f t="shared" si="4"/>
        <v>7.3882530120481915</v>
      </c>
      <c r="I126" s="155">
        <f>+G126/E126</f>
        <v>0.37736923076923073</v>
      </c>
      <c r="K126" s="45"/>
    </row>
    <row r="127" spans="1:11" ht="15.75">
      <c r="A127" s="109"/>
      <c r="B127" s="108" t="s">
        <v>118</v>
      </c>
      <c r="C127" s="72" t="s">
        <v>70</v>
      </c>
      <c r="D127" s="137"/>
      <c r="E127" s="84"/>
      <c r="F127" s="135">
        <f>G127-37.9</f>
        <v>13.5</v>
      </c>
      <c r="G127" s="135">
        <v>51.4</v>
      </c>
      <c r="H127" s="149"/>
      <c r="I127" s="155"/>
      <c r="K127" s="41"/>
    </row>
    <row r="128" spans="1:11" ht="15.75">
      <c r="A128" s="106" t="s">
        <v>119</v>
      </c>
      <c r="B128" s="112" t="s">
        <v>94</v>
      </c>
      <c r="C128" s="70" t="s">
        <v>32</v>
      </c>
      <c r="D128" s="133">
        <f>D129+D132+D136</f>
        <v>4163.6900000000005</v>
      </c>
      <c r="E128" s="133">
        <f>E129+E132+E136</f>
        <v>42700</v>
      </c>
      <c r="F128" s="133">
        <f>F129+F132+F136</f>
        <v>5020.070000000001</v>
      </c>
      <c r="G128" s="133">
        <f>G129+G132+G136</f>
        <v>9644.67</v>
      </c>
      <c r="H128" s="149">
        <f t="shared" si="4"/>
        <v>2.316375618742029</v>
      </c>
      <c r="I128" s="155">
        <f>+G128/E128</f>
        <v>0.2258704918032787</v>
      </c>
      <c r="K128" s="44"/>
    </row>
    <row r="129" spans="1:11" ht="15.75">
      <c r="A129" s="109"/>
      <c r="B129" s="108" t="s">
        <v>120</v>
      </c>
      <c r="C129" s="72" t="s">
        <v>70</v>
      </c>
      <c r="D129" s="108"/>
      <c r="E129" s="84"/>
      <c r="F129" s="97"/>
      <c r="G129" s="156"/>
      <c r="H129" s="149"/>
      <c r="I129" s="155"/>
      <c r="K129" s="43"/>
    </row>
    <row r="130" spans="1:11" ht="15.75">
      <c r="A130" s="109"/>
      <c r="B130" s="108" t="s">
        <v>121</v>
      </c>
      <c r="C130" s="72" t="s">
        <v>70</v>
      </c>
      <c r="D130" s="108"/>
      <c r="E130" s="84"/>
      <c r="F130" s="97"/>
      <c r="G130" s="108"/>
      <c r="H130" s="149"/>
      <c r="I130" s="155"/>
      <c r="K130" s="43"/>
    </row>
    <row r="131" spans="1:11" ht="15.75">
      <c r="A131" s="109"/>
      <c r="B131" s="108" t="s">
        <v>122</v>
      </c>
      <c r="C131" s="72"/>
      <c r="D131" s="137"/>
      <c r="E131" s="84"/>
      <c r="F131" s="97"/>
      <c r="G131" s="108"/>
      <c r="H131" s="149"/>
      <c r="I131" s="155"/>
      <c r="K131" s="43"/>
    </row>
    <row r="132" spans="1:11" ht="15.75">
      <c r="A132" s="109"/>
      <c r="B132" s="108" t="s">
        <v>123</v>
      </c>
      <c r="C132" s="72" t="s">
        <v>70</v>
      </c>
      <c r="D132" s="84">
        <f>D133+D134+D135</f>
        <v>4077.69</v>
      </c>
      <c r="E132" s="84">
        <f>E133+E134+E135</f>
        <v>38000</v>
      </c>
      <c r="F132" s="140">
        <f>F133+F134+F135</f>
        <v>4722.27</v>
      </c>
      <c r="G132" s="140">
        <f>G133+G134+G135</f>
        <v>9198.67</v>
      </c>
      <c r="H132" s="149">
        <f t="shared" si="4"/>
        <v>2.2558531913902233</v>
      </c>
      <c r="I132" s="155">
        <f>+G132/E132</f>
        <v>0.24207026315789473</v>
      </c>
      <c r="K132" s="46"/>
    </row>
    <row r="133" spans="1:11" ht="15.75">
      <c r="A133" s="109"/>
      <c r="B133" s="108" t="s">
        <v>124</v>
      </c>
      <c r="C133" s="72" t="s">
        <v>70</v>
      </c>
      <c r="D133" s="84">
        <v>1061.14</v>
      </c>
      <c r="E133" s="84">
        <v>13600</v>
      </c>
      <c r="F133" s="140">
        <f>G133-435</f>
        <v>863.4300000000001</v>
      </c>
      <c r="G133" s="84">
        <v>1298.43</v>
      </c>
      <c r="H133" s="149">
        <f t="shared" si="4"/>
        <v>1.22361799574043</v>
      </c>
      <c r="I133" s="155">
        <f>+G133/E133</f>
        <v>0.09547279411764706</v>
      </c>
      <c r="K133" s="51"/>
    </row>
    <row r="134" spans="1:11" ht="15.75">
      <c r="A134" s="109"/>
      <c r="B134" s="108" t="s">
        <v>125</v>
      </c>
      <c r="C134" s="72" t="s">
        <v>70</v>
      </c>
      <c r="D134" s="84">
        <v>841.55</v>
      </c>
      <c r="E134" s="84">
        <v>14400</v>
      </c>
      <c r="F134" s="140">
        <f>G134-3110.5</f>
        <v>3233.74</v>
      </c>
      <c r="G134" s="84">
        <v>6344.24</v>
      </c>
      <c r="H134" s="149">
        <f t="shared" si="4"/>
        <v>7.538755867149902</v>
      </c>
      <c r="I134" s="155">
        <f>+G134/E134</f>
        <v>0.4405722222222222</v>
      </c>
      <c r="K134" s="51"/>
    </row>
    <row r="135" spans="1:11" ht="15.75">
      <c r="A135" s="109"/>
      <c r="B135" s="108" t="s">
        <v>126</v>
      </c>
      <c r="C135" s="72" t="s">
        <v>70</v>
      </c>
      <c r="D135" s="84">
        <v>2175</v>
      </c>
      <c r="E135" s="84">
        <v>10000</v>
      </c>
      <c r="F135" s="84">
        <f>G135-930.9</f>
        <v>625.1</v>
      </c>
      <c r="G135" s="84">
        <v>1556</v>
      </c>
      <c r="H135" s="149">
        <f t="shared" si="4"/>
        <v>0.7154022988505747</v>
      </c>
      <c r="I135" s="155">
        <f>+G135/E135</f>
        <v>0.1556</v>
      </c>
      <c r="K135" s="51"/>
    </row>
    <row r="136" spans="1:11" ht="26.25">
      <c r="A136" s="109"/>
      <c r="B136" s="157" t="s">
        <v>127</v>
      </c>
      <c r="C136" s="72" t="s">
        <v>70</v>
      </c>
      <c r="D136" s="158">
        <v>86</v>
      </c>
      <c r="E136" s="24">
        <v>4700</v>
      </c>
      <c r="F136" s="159">
        <f>G136-148.2</f>
        <v>297.8</v>
      </c>
      <c r="G136" s="158">
        <v>446</v>
      </c>
      <c r="H136" s="160">
        <f t="shared" si="4"/>
        <v>5.186046511627907</v>
      </c>
      <c r="I136" s="32">
        <f>+G136/E136</f>
        <v>0.09489361702127659</v>
      </c>
      <c r="K136" s="52"/>
    </row>
    <row r="137" spans="1:11" ht="15.75">
      <c r="A137" s="109" t="s">
        <v>128</v>
      </c>
      <c r="B137" s="161" t="s">
        <v>129</v>
      </c>
      <c r="C137" s="70" t="s">
        <v>32</v>
      </c>
      <c r="D137" s="154">
        <f>D138+D149</f>
        <v>27788.86</v>
      </c>
      <c r="E137" s="133">
        <f>E138+E149</f>
        <v>75800</v>
      </c>
      <c r="F137" s="133">
        <f>F138+F149</f>
        <v>6116.5</v>
      </c>
      <c r="G137" s="154">
        <f>G138+G149</f>
        <v>29115.909999999996</v>
      </c>
      <c r="H137" s="149">
        <f t="shared" si="4"/>
        <v>1.047754747765831</v>
      </c>
      <c r="I137" s="32">
        <f aca="true" t="shared" si="5" ref="I137:I154">+G137/E137</f>
        <v>0.38411490765171497</v>
      </c>
      <c r="K137" s="53"/>
    </row>
    <row r="138" spans="1:11" ht="15.75">
      <c r="A138" s="106" t="s">
        <v>130</v>
      </c>
      <c r="B138" s="161" t="s">
        <v>131</v>
      </c>
      <c r="C138" s="70" t="s">
        <v>32</v>
      </c>
      <c r="D138" s="133">
        <f>D139+D142+D145+D148</f>
        <v>23775.41</v>
      </c>
      <c r="E138" s="133">
        <f>E139+E142+E145+E148</f>
        <v>62000</v>
      </c>
      <c r="F138" s="133">
        <f>F139+F142+F145+F148</f>
        <v>5417.5</v>
      </c>
      <c r="G138" s="154">
        <f>G139+G142+G145+G148</f>
        <v>24896.53</v>
      </c>
      <c r="H138" s="149">
        <f t="shared" si="4"/>
        <v>1.0471546021708984</v>
      </c>
      <c r="I138" s="32">
        <f t="shared" si="5"/>
        <v>0.40155693548387095</v>
      </c>
      <c r="K138" s="53"/>
    </row>
    <row r="139" spans="1:11" ht="15.75">
      <c r="A139" s="109"/>
      <c r="B139" s="162" t="s">
        <v>132</v>
      </c>
      <c r="C139" s="70" t="s">
        <v>32</v>
      </c>
      <c r="D139" s="134">
        <v>11773.1</v>
      </c>
      <c r="E139" s="84">
        <v>25000</v>
      </c>
      <c r="F139" s="163">
        <f>G139-9768.23</f>
        <v>2683</v>
      </c>
      <c r="G139" s="134">
        <v>12451.23</v>
      </c>
      <c r="H139" s="149">
        <f t="shared" si="4"/>
        <v>1.0575999524339383</v>
      </c>
      <c r="I139" s="32">
        <f t="shared" si="5"/>
        <v>0.49804919999999997</v>
      </c>
      <c r="K139" s="53"/>
    </row>
    <row r="140" spans="1:11" ht="15.75">
      <c r="A140" s="109"/>
      <c r="B140" s="162" t="s">
        <v>133</v>
      </c>
      <c r="C140" s="72" t="s">
        <v>70</v>
      </c>
      <c r="D140" s="97"/>
      <c r="E140" s="140"/>
      <c r="F140" s="97"/>
      <c r="G140" s="97"/>
      <c r="H140" s="149"/>
      <c r="I140" s="32"/>
      <c r="K140" s="53"/>
    </row>
    <row r="141" spans="1:11" ht="15.75">
      <c r="A141" s="109"/>
      <c r="B141" s="162" t="s">
        <v>134</v>
      </c>
      <c r="C141" s="72" t="s">
        <v>70</v>
      </c>
      <c r="D141" s="97"/>
      <c r="E141" s="84"/>
      <c r="F141" s="97"/>
      <c r="G141" s="97"/>
      <c r="H141" s="149"/>
      <c r="I141" s="32"/>
      <c r="K141" s="53"/>
    </row>
    <row r="142" spans="1:11" ht="15.75">
      <c r="A142" s="167"/>
      <c r="B142" s="202" t="s">
        <v>135</v>
      </c>
      <c r="C142" s="203" t="s">
        <v>32</v>
      </c>
      <c r="D142" s="170">
        <f>D143</f>
        <v>4347.48</v>
      </c>
      <c r="E142" s="171">
        <v>5500</v>
      </c>
      <c r="F142" s="170">
        <f>F143</f>
        <v>1082.8100000000004</v>
      </c>
      <c r="G142" s="170">
        <f>G143</f>
        <v>4714.81</v>
      </c>
      <c r="H142" s="175">
        <f t="shared" si="4"/>
        <v>1.084492625612999</v>
      </c>
      <c r="I142" s="173">
        <f t="shared" si="5"/>
        <v>0.8572381818181819</v>
      </c>
      <c r="K142" s="53"/>
    </row>
    <row r="143" spans="1:11" ht="15.75">
      <c r="A143" s="164"/>
      <c r="B143" s="165" t="s">
        <v>136</v>
      </c>
      <c r="C143" s="166" t="s">
        <v>70</v>
      </c>
      <c r="D143" s="116">
        <v>4347.48</v>
      </c>
      <c r="E143" s="199">
        <f>+E142</f>
        <v>5500</v>
      </c>
      <c r="F143" s="116">
        <f>G143-3632</f>
        <v>1082.8100000000004</v>
      </c>
      <c r="G143" s="116">
        <v>4714.81</v>
      </c>
      <c r="H143" s="201">
        <f t="shared" si="4"/>
        <v>1.084492625612999</v>
      </c>
      <c r="I143" s="190">
        <f t="shared" si="5"/>
        <v>0.8572381818181819</v>
      </c>
      <c r="K143" s="53"/>
    </row>
    <row r="144" spans="1:11" ht="15.75">
      <c r="A144" s="109"/>
      <c r="B144" s="162" t="s">
        <v>134</v>
      </c>
      <c r="C144" s="72" t="s">
        <v>70</v>
      </c>
      <c r="D144" s="97"/>
      <c r="E144" s="84"/>
      <c r="F144" s="97"/>
      <c r="G144" s="97"/>
      <c r="H144" s="149"/>
      <c r="I144" s="32"/>
      <c r="K144" s="53"/>
    </row>
    <row r="145" spans="1:11" ht="15.75">
      <c r="A145" s="109"/>
      <c r="B145" s="162" t="s">
        <v>137</v>
      </c>
      <c r="C145" s="70" t="s">
        <v>32</v>
      </c>
      <c r="D145" s="97"/>
      <c r="E145" s="84"/>
      <c r="F145" s="97"/>
      <c r="G145" s="97"/>
      <c r="H145" s="149"/>
      <c r="I145" s="32"/>
      <c r="K145" s="54"/>
    </row>
    <row r="146" spans="1:11" ht="15.75">
      <c r="A146" s="109"/>
      <c r="B146" s="162" t="s">
        <v>133</v>
      </c>
      <c r="C146" s="72" t="s">
        <v>70</v>
      </c>
      <c r="D146" s="97"/>
      <c r="E146" s="84"/>
      <c r="F146" s="97"/>
      <c r="G146" s="97"/>
      <c r="H146" s="149"/>
      <c r="I146" s="32"/>
      <c r="K146" s="53"/>
    </row>
    <row r="147" spans="1:12" ht="15.75">
      <c r="A147" s="164"/>
      <c r="B147" s="165" t="s">
        <v>134</v>
      </c>
      <c r="C147" s="166" t="s">
        <v>70</v>
      </c>
      <c r="D147" s="97"/>
      <c r="E147" s="84"/>
      <c r="F147" s="97"/>
      <c r="G147" s="97"/>
      <c r="H147" s="149"/>
      <c r="I147" s="32"/>
      <c r="K147" s="53"/>
      <c r="L147" s="38"/>
    </row>
    <row r="148" spans="1:11" ht="15.75">
      <c r="A148" s="109"/>
      <c r="B148" s="162" t="s">
        <v>138</v>
      </c>
      <c r="C148" s="72" t="s">
        <v>70</v>
      </c>
      <c r="D148" s="134">
        <v>7654.83</v>
      </c>
      <c r="E148" s="84">
        <v>31500</v>
      </c>
      <c r="F148" s="135">
        <f>G148-6078.8</f>
        <v>1651.6899999999996</v>
      </c>
      <c r="G148" s="134">
        <v>7730.49</v>
      </c>
      <c r="H148" s="149">
        <f t="shared" si="4"/>
        <v>1.009883955620177</v>
      </c>
      <c r="I148" s="32">
        <f t="shared" si="5"/>
        <v>0.24541238095238094</v>
      </c>
      <c r="K148" s="53"/>
    </row>
    <row r="149" spans="1:11" ht="15.75">
      <c r="A149" s="106" t="s">
        <v>139</v>
      </c>
      <c r="B149" s="161" t="s">
        <v>140</v>
      </c>
      <c r="C149" s="70" t="s">
        <v>32</v>
      </c>
      <c r="D149" s="154">
        <f>D150+D151+D152+D153+D154</f>
        <v>4013.45</v>
      </c>
      <c r="E149" s="133">
        <f>E150+E151+E152+E153+E154</f>
        <v>13800</v>
      </c>
      <c r="F149" s="133">
        <f>F150+F151+F152+F153+F154</f>
        <v>698.9999999999999</v>
      </c>
      <c r="G149" s="154">
        <f>G150+G151+G152+G153+G154</f>
        <v>4219.379999999999</v>
      </c>
      <c r="H149" s="149">
        <f t="shared" si="4"/>
        <v>1.0513099702251179</v>
      </c>
      <c r="I149" s="32">
        <f t="shared" si="5"/>
        <v>0.30575217391304343</v>
      </c>
      <c r="K149" s="53"/>
    </row>
    <row r="150" spans="1:11" ht="15.75">
      <c r="A150" s="109"/>
      <c r="B150" s="110" t="s">
        <v>158</v>
      </c>
      <c r="C150" s="72" t="s">
        <v>70</v>
      </c>
      <c r="D150" s="134">
        <v>1667.3</v>
      </c>
      <c r="E150" s="84">
        <v>6200</v>
      </c>
      <c r="F150" s="134">
        <f>G150-1500</f>
        <v>310.06999999999994</v>
      </c>
      <c r="G150" s="134">
        <v>1810.07</v>
      </c>
      <c r="H150" s="149">
        <f t="shared" si="4"/>
        <v>1.0856294608048942</v>
      </c>
      <c r="I150" s="32">
        <f t="shared" si="5"/>
        <v>0.29194677419354836</v>
      </c>
      <c r="K150" s="53"/>
    </row>
    <row r="151" spans="1:11" ht="15.75">
      <c r="A151" s="109"/>
      <c r="B151" s="108" t="s">
        <v>141</v>
      </c>
      <c r="C151" s="72" t="s">
        <v>70</v>
      </c>
      <c r="D151" s="134">
        <v>1614.81</v>
      </c>
      <c r="E151" s="84">
        <v>4500</v>
      </c>
      <c r="F151" s="135">
        <f>G151-1370.47</f>
        <v>276.6099999999999</v>
      </c>
      <c r="G151" s="134">
        <v>1647.08</v>
      </c>
      <c r="H151" s="149">
        <f t="shared" si="4"/>
        <v>1.019983775180981</v>
      </c>
      <c r="I151" s="32">
        <f t="shared" si="5"/>
        <v>0.3660177777777778</v>
      </c>
      <c r="K151" s="53"/>
    </row>
    <row r="152" spans="1:11" ht="30" customHeight="1">
      <c r="A152" s="109"/>
      <c r="B152" s="111" t="s">
        <v>142</v>
      </c>
      <c r="C152" s="72" t="s">
        <v>70</v>
      </c>
      <c r="D152" s="134"/>
      <c r="E152" s="84"/>
      <c r="F152" s="134"/>
      <c r="G152" s="134"/>
      <c r="H152" s="149"/>
      <c r="I152" s="32"/>
      <c r="K152" s="53"/>
    </row>
    <row r="153" spans="1:9" ht="26.25">
      <c r="A153" s="109"/>
      <c r="B153" s="141" t="s">
        <v>143</v>
      </c>
      <c r="C153" s="72" t="s">
        <v>70</v>
      </c>
      <c r="D153" s="134"/>
      <c r="E153" s="84"/>
      <c r="F153" s="134"/>
      <c r="G153" s="134"/>
      <c r="H153" s="149"/>
      <c r="I153" s="32"/>
    </row>
    <row r="154" spans="1:9" ht="15.75">
      <c r="A154" s="167"/>
      <c r="B154" s="168" t="s">
        <v>144</v>
      </c>
      <c r="C154" s="169" t="s">
        <v>70</v>
      </c>
      <c r="D154" s="170">
        <v>731.34</v>
      </c>
      <c r="E154" s="171">
        <v>3100</v>
      </c>
      <c r="F154" s="172">
        <f>G154-649.91</f>
        <v>112.32000000000005</v>
      </c>
      <c r="G154" s="170">
        <v>762.23</v>
      </c>
      <c r="H154" s="175">
        <f t="shared" si="4"/>
        <v>1.0422375365766947</v>
      </c>
      <c r="I154" s="173">
        <f t="shared" si="5"/>
        <v>0.24588064516129032</v>
      </c>
    </row>
    <row r="155" spans="1:9" ht="15.75">
      <c r="A155" s="7"/>
      <c r="B155" s="13"/>
      <c r="C155" s="14"/>
      <c r="D155" s="118"/>
      <c r="E155" s="15"/>
      <c r="F155" s="16"/>
      <c r="G155" s="15"/>
      <c r="H155" s="15"/>
      <c r="I155" s="15"/>
    </row>
    <row r="156" spans="1:9" ht="18.75">
      <c r="A156" s="7"/>
      <c r="B156" s="3"/>
      <c r="C156" s="17"/>
      <c r="D156" s="18"/>
      <c r="E156" s="5"/>
      <c r="F156" s="19"/>
      <c r="G156" s="183"/>
      <c r="H156" s="183"/>
      <c r="I156" s="183"/>
    </row>
    <row r="157" spans="1:9" ht="18.75">
      <c r="A157" s="7"/>
      <c r="B157" s="3"/>
      <c r="C157" s="17"/>
      <c r="D157" s="18"/>
      <c r="E157" s="20"/>
      <c r="F157" s="21"/>
      <c r="G157" s="184"/>
      <c r="H157" s="184"/>
      <c r="I157" s="184"/>
    </row>
    <row r="158" ht="15.75">
      <c r="F158" s="22"/>
    </row>
    <row r="159" ht="15.75">
      <c r="F159" s="22"/>
    </row>
    <row r="160" ht="15.75">
      <c r="F160" s="22"/>
    </row>
    <row r="161" ht="15.75">
      <c r="F161" s="22"/>
    </row>
  </sheetData>
  <mergeCells count="12">
    <mergeCell ref="G156:I156"/>
    <mergeCell ref="G157:I157"/>
    <mergeCell ref="G6:G7"/>
    <mergeCell ref="F6:F7"/>
    <mergeCell ref="A3:I3"/>
    <mergeCell ref="A4:I4"/>
    <mergeCell ref="B6:B7"/>
    <mergeCell ref="D6:D7"/>
    <mergeCell ref="C6:C7"/>
    <mergeCell ref="A6:A7"/>
    <mergeCell ref="E6:E7"/>
    <mergeCell ref="H6:I6"/>
  </mergeCells>
  <printOptions/>
  <pageMargins left="0.29" right="0.24" top="0.54" bottom="0.3" header="0.4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>
    <row r="1" ht="12.75">
      <c r="A1">
        <f>(167+90)/2</f>
        <v>128.5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Duong Thanh Tung</cp:lastModifiedBy>
  <cp:lastPrinted>2014-05-26T09:17:37Z</cp:lastPrinted>
  <dcterms:created xsi:type="dcterms:W3CDTF">2013-03-11T00:44:18Z</dcterms:created>
  <dcterms:modified xsi:type="dcterms:W3CDTF">2014-05-26T09:19:03Z</dcterms:modified>
  <cp:category/>
  <cp:version/>
  <cp:contentType/>
  <cp:contentStatus/>
</cp:coreProperties>
</file>