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'Sheet1'!$A$1:$I$152</definedName>
    <definedName name="_xlnm.Print_Titles" localSheetId="0">'Sheet1'!$6:$7</definedName>
  </definedNames>
  <calcPr fullCalcOnLoad="1"/>
</workbook>
</file>

<file path=xl/sharedStrings.xml><?xml version="1.0" encoding="utf-8"?>
<sst xmlns="http://schemas.openxmlformats.org/spreadsheetml/2006/main" count="309" uniqueCount="160">
  <si>
    <t>Chỉ tiêu</t>
  </si>
  <si>
    <t>ĐVT</t>
  </si>
  <si>
    <t>KH 
vụ/năm
2013</t>
  </si>
  <si>
    <t>% so sánh với</t>
  </si>
  <si>
    <t>Cùng kỳ</t>
  </si>
  <si>
    <t>Kế hoạch</t>
  </si>
  <si>
    <t>A</t>
  </si>
  <si>
    <t>B</t>
  </si>
  <si>
    <t>C</t>
  </si>
  <si>
    <t>4=3/1</t>
  </si>
  <si>
    <t>5=3/2</t>
  </si>
  <si>
    <t>I.</t>
  </si>
  <si>
    <t>TRỒNG TRỌT</t>
  </si>
  <si>
    <t>Tổng DT gieo trồng</t>
  </si>
  <si>
    <t>Ha</t>
  </si>
  <si>
    <t>1.1.</t>
  </si>
  <si>
    <t>Cây lương thực có hạt</t>
  </si>
  <si>
    <t>Cây lúa</t>
  </si>
  <si>
    <t xml:space="preserve"> - Diện tích thu hoạch</t>
  </si>
  <si>
    <t xml:space="preserve"> - Năng suất bình quân</t>
  </si>
  <si>
    <t>Tạ/ha</t>
  </si>
  <si>
    <t xml:space="preserve"> - Sản lượng</t>
  </si>
  <si>
    <t>tấn</t>
  </si>
  <si>
    <t xml:space="preserve"> Vụ Đông - Xuân </t>
  </si>
  <si>
    <t xml:space="preserve"> - DT gieo sạ</t>
  </si>
  <si>
    <t>ha</t>
  </si>
  <si>
    <t>Cây màu</t>
  </si>
  <si>
    <t>Cây bắp</t>
  </si>
  <si>
    <t xml:space="preserve"> - Diện tích gieo trồng</t>
  </si>
  <si>
    <t xml:space="preserve"> - Diện tích thu hoạch</t>
  </si>
  <si>
    <t>''</t>
  </si>
  <si>
    <t xml:space="preserve"> - Năng suất </t>
  </si>
  <si>
    <t xml:space="preserve"> - Sản lượng </t>
  </si>
  <si>
    <t>Tấn</t>
  </si>
  <si>
    <t>1.2.</t>
  </si>
  <si>
    <t>Cây có củ</t>
  </si>
  <si>
    <t xml:space="preserve">Khoai lang </t>
  </si>
  <si>
    <t xml:space="preserve"> + Diện tích gieo trồng</t>
  </si>
  <si>
    <t xml:space="preserve"> + Diện tích thu hoạch</t>
  </si>
  <si>
    <t xml:space="preserve"> + Năng suất </t>
  </si>
  <si>
    <t xml:space="preserve"> + Sản lượng </t>
  </si>
  <si>
    <t>Sắn</t>
  </si>
  <si>
    <t xml:space="preserve">Cây có củ khác </t>
  </si>
  <si>
    <t>1.3.</t>
  </si>
  <si>
    <t>Cây thực phẩm</t>
  </si>
  <si>
    <t>Rau các loại</t>
  </si>
  <si>
    <t xml:space="preserve"> + DT gieo trồng </t>
  </si>
  <si>
    <t>Đậu các loại</t>
  </si>
  <si>
    <t>1.4</t>
  </si>
  <si>
    <t>Cây công nghiệp hàng năm</t>
  </si>
  <si>
    <t xml:space="preserve"> </t>
  </si>
  <si>
    <t>Đậu phộng</t>
  </si>
  <si>
    <t>Mía</t>
  </si>
  <si>
    <t xml:space="preserve"> + Diện tích trồng</t>
  </si>
  <si>
    <t>Trong đó: DT trồng mới</t>
  </si>
  <si>
    <t xml:space="preserve"> + Năng suất</t>
  </si>
  <si>
    <t>Cây lác (cói)</t>
  </si>
  <si>
    <t>Cây trồng khác</t>
  </si>
  <si>
    <t>"</t>
  </si>
  <si>
    <t xml:space="preserve"> + Cây hàng năm khác</t>
  </si>
  <si>
    <t xml:space="preserve"> + Dây thuốc cá</t>
  </si>
  <si>
    <t>Cây lâu năm</t>
  </si>
  <si>
    <t>Cây ăn quả</t>
  </si>
  <si>
    <t>II</t>
  </si>
  <si>
    <t>CHĂN NUÔI</t>
  </si>
  <si>
    <t>LÂM NGHIỆP</t>
  </si>
  <si>
    <t>1.</t>
  </si>
  <si>
    <t>Lâm sinh</t>
  </si>
  <si>
    <t>DT rừng trồng tập trung</t>
  </si>
  <si>
    <t xml:space="preserve">  Trong đó:</t>
  </si>
  <si>
    <t xml:space="preserve"> - Rừng phòng hộ </t>
  </si>
  <si>
    <t xml:space="preserve"> ''</t>
  </si>
  <si>
    <t xml:space="preserve"> - Rừng đặc dụng</t>
  </si>
  <si>
    <t xml:space="preserve"> - Rừng sản xuất</t>
  </si>
  <si>
    <t xml:space="preserve"> DT trồng lại sau khai thác</t>
  </si>
  <si>
    <t>DT rừng trồng được chăm sóc</t>
  </si>
  <si>
    <t>DT khoanh nuôi tái sinh</t>
  </si>
  <si>
    <t>1.4.</t>
  </si>
  <si>
    <t>DT giao khoán bảo vệ</t>
  </si>
  <si>
    <t>1.5.</t>
  </si>
  <si>
    <t>Số cây lâm nghiệp phân tán</t>
  </si>
  <si>
    <t>1000 cây</t>
  </si>
  <si>
    <t>2.</t>
  </si>
  <si>
    <t>Khai thác</t>
  </si>
  <si>
    <t xml:space="preserve"> - Sản lượng gỗ khai thác</t>
  </si>
  <si>
    <r>
      <t>m</t>
    </r>
    <r>
      <rPr>
        <vertAlign val="superscript"/>
        <sz val="10"/>
        <rFont val="Times New Roman"/>
        <family val="1"/>
      </rPr>
      <t>3</t>
    </r>
  </si>
  <si>
    <r>
      <t xml:space="preserve"> </t>
    </r>
    <r>
      <rPr>
        <i/>
        <sz val="10"/>
        <rFont val="Times New Roman"/>
        <family val="1"/>
      </rPr>
      <t xml:space="preserve">  Trong đó</t>
    </r>
    <r>
      <rPr>
        <sz val="10"/>
        <rFont val="Times New Roman"/>
        <family val="1"/>
      </rPr>
      <t xml:space="preserve">: Gỗ rừng trồng </t>
    </r>
  </si>
  <si>
    <t>DIÊM NGHIỆP</t>
  </si>
  <si>
    <t>D</t>
  </si>
  <si>
    <t>THỦY SẢN</t>
  </si>
  <si>
    <t>Tổng diện tích nuôi</t>
  </si>
  <si>
    <t>Nuôi nước ngọt</t>
  </si>
  <si>
    <t xml:space="preserve"> - Diện tích nuôi cá</t>
  </si>
  <si>
    <t xml:space="preserve">    Trong đó: cá tra, cá ba sa</t>
  </si>
  <si>
    <t xml:space="preserve"> - Diện tích nuôi giáp xác</t>
  </si>
  <si>
    <t xml:space="preserve">    Trong đó: tôm càng xanh</t>
  </si>
  <si>
    <t xml:space="preserve"> - Diện tích nuôi khác</t>
  </si>
  <si>
    <t>Nuôi nước mặn, lợ</t>
  </si>
  <si>
    <t xml:space="preserve">    Trong đó: + cá giò, cá song</t>
  </si>
  <si>
    <t xml:space="preserve">                   + …</t>
  </si>
  <si>
    <t xml:space="preserve"> Trong đó: + Tôm sú</t>
  </si>
  <si>
    <t xml:space="preserve">                + Tôm thẻ chân trắng</t>
  </si>
  <si>
    <t xml:space="preserve">                + Cua biển                   </t>
  </si>
  <si>
    <t xml:space="preserve"> - Diện tích nuôi khác
 (nghêu - sò huyết)</t>
  </si>
  <si>
    <t>Thể tích nuôi lồng, bè</t>
  </si>
  <si>
    <t>- Nuôi cá</t>
  </si>
  <si>
    <t>- Nuôi giáp xác</t>
  </si>
  <si>
    <t>- Nuôi nhuyễn thể</t>
  </si>
  <si>
    <t>3.</t>
  </si>
  <si>
    <t>Sản lượng con giống sản xuất</t>
  </si>
  <si>
    <t>Triệu con</t>
  </si>
  <si>
    <t>- Cá giống</t>
  </si>
  <si>
    <t>- Tôm giống</t>
  </si>
  <si>
    <t>- Nhuyễn thể giống</t>
  </si>
  <si>
    <t>Tổng sản lượng thủy sản</t>
  </si>
  <si>
    <t>4.1</t>
  </si>
  <si>
    <t>Tổng sản lượng nuôi</t>
  </si>
  <si>
    <t>4.1.1</t>
  </si>
  <si>
    <t xml:space="preserve"> - Sản lượng cá</t>
  </si>
  <si>
    <r>
      <t xml:space="preserve"> </t>
    </r>
    <r>
      <rPr>
        <i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>Trong đó:  cá tra, cá ba sa</t>
    </r>
  </si>
  <si>
    <t xml:space="preserve"> - Sản lượng giáp xác</t>
  </si>
  <si>
    <r>
      <t xml:space="preserve">    Trong đó: tôm càng xanh</t>
    </r>
  </si>
  <si>
    <t xml:space="preserve"> - Sản lượng thủy sản khác</t>
  </si>
  <si>
    <t>4.1.2.</t>
  </si>
  <si>
    <t xml:space="preserve"> - Sản lượng cá nuôi</t>
  </si>
  <si>
    <r>
      <t xml:space="preserve">    Trong đó: Cá giò, cá song</t>
    </r>
  </si>
  <si>
    <t xml:space="preserve">     …</t>
  </si>
  <si>
    <t xml:space="preserve"> - Sản lượng tôm nuôi</t>
  </si>
  <si>
    <r>
      <t xml:space="preserve">    Trong đó: + Tôm sú</t>
    </r>
  </si>
  <si>
    <t xml:space="preserve">                   + Tôm thẻ chân trắng</t>
  </si>
  <si>
    <t xml:space="preserve">                   + Nuôi cua biển</t>
  </si>
  <si>
    <t xml:space="preserve"> - Sản lượng thủy sản khác
 (nghêu - sò huyết)</t>
  </si>
  <si>
    <t>4.2</t>
  </si>
  <si>
    <t>Tổng sản lượng khai thác</t>
  </si>
  <si>
    <t>4.2.1.</t>
  </si>
  <si>
    <t>Khai thác biển</t>
  </si>
  <si>
    <t xml:space="preserve"> + Sản lượng cá khai thác</t>
  </si>
  <si>
    <t xml:space="preserve"> Trong đó: - Loài ….</t>
  </si>
  <si>
    <t xml:space="preserve"> - …</t>
  </si>
  <si>
    <t xml:space="preserve"> + Sản lượng giáp xác khai thác</t>
  </si>
  <si>
    <t xml:space="preserve"> Trong đó: - Tôm…</t>
  </si>
  <si>
    <t xml:space="preserve"> + SL nhuyễn thể khai thác</t>
  </si>
  <si>
    <t xml:space="preserve"> + SL hải sản khác khai thác</t>
  </si>
  <si>
    <t>4.2.2</t>
  </si>
  <si>
    <t>Khai thác nội địa</t>
  </si>
  <si>
    <r>
      <t>Trong đó:</t>
    </r>
    <r>
      <rPr>
        <sz val="10"/>
        <rFont val="Times New Roman"/>
        <family val="1"/>
      </rPr>
      <t>- Cá các loại</t>
    </r>
  </si>
  <si>
    <t xml:space="preserve">               - Tôm các loại</t>
  </si>
  <si>
    <t xml:space="preserve">               - Nhuyễn thể các loại</t>
  </si>
  <si>
    <t xml:space="preserve">               - Giáp xác các loại 
                  (không kể tôm)</t>
  </si>
  <si>
    <t xml:space="preserve">               - Thủy sản khác</t>
  </si>
  <si>
    <t>SẢN XUẤT NÔNG NGHIỆP</t>
  </si>
  <si>
    <t>STT</t>
  </si>
  <si>
    <t>Vụ Hè Thu</t>
  </si>
  <si>
    <t xml:space="preserve"> - Diện tích</t>
  </si>
  <si>
    <t>Sở Nông nghiệp và PTNT tỉnh Trà Vinh</t>
  </si>
  <si>
    <t>BÁO CÁO THÁNG VỀ SẢN XUẤT NÔNG, LÂM, DIÊM NGHIỆP, THUỶ SẢN</t>
  </si>
  <si>
    <t>Ước TH kỳ này</t>
  </si>
  <si>
    <t>Cùng kỳ năm 2012</t>
  </si>
  <si>
    <t xml:space="preserve">Tính đến ngày 15/5/2013 </t>
  </si>
  <si>
    <t>TH 
tháng 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</si>
</sst>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_);_(@_)"/>
    <numFmt numFmtId="167" formatCode="_(* #,##0.0_);_(* \(#,##0.0\);_(* &quot;-&quot;??_);_(@_)"/>
    <numFmt numFmtId="168" formatCode="0.0%"/>
    <numFmt numFmtId="169" formatCode="_(* #,##0.000_);_(* \(#,##0.000\);_(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_(* #,##0.000_);_(* \(#,##0.000\);_(* &quot;-&quot;???_);_(@_)"/>
  </numFmts>
  <fonts count="1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10" fontId="5" fillId="0" borderId="4" xfId="19" applyNumberFormat="1" applyFont="1" applyBorder="1" applyAlignment="1">
      <alignment vertical="center"/>
    </xf>
    <xf numFmtId="10" fontId="5" fillId="0" borderId="5" xfId="19" applyNumberFormat="1" applyFont="1" applyBorder="1" applyAlignment="1">
      <alignment vertical="center"/>
    </xf>
    <xf numFmtId="164" fontId="6" fillId="0" borderId="4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vertical="center" wrapText="1"/>
    </xf>
    <xf numFmtId="165" fontId="5" fillId="0" borderId="4" xfId="0" applyNumberFormat="1" applyFont="1" applyBorder="1" applyAlignment="1">
      <alignment vertical="center"/>
    </xf>
    <xf numFmtId="43" fontId="4" fillId="0" borderId="0" xfId="0" applyNumberFormat="1" applyFont="1" applyAlignment="1">
      <alignment/>
    </xf>
    <xf numFmtId="164" fontId="6" fillId="0" borderId="4" xfId="0" applyNumberFormat="1" applyFont="1" applyFill="1" applyBorder="1" applyAlignment="1" quotePrefix="1">
      <alignment horizontal="center" vertical="center" wrapText="1"/>
    </xf>
    <xf numFmtId="165" fontId="5" fillId="0" borderId="4" xfId="15" applyNumberFormat="1" applyFont="1" applyBorder="1" applyAlignment="1">
      <alignment vertical="center"/>
    </xf>
    <xf numFmtId="165" fontId="5" fillId="0" borderId="6" xfId="15" applyNumberFormat="1" applyFont="1" applyBorder="1" applyAlignment="1">
      <alignment vertical="center"/>
    </xf>
    <xf numFmtId="164" fontId="6" fillId="0" borderId="4" xfId="0" applyNumberFormat="1" applyFont="1" applyBorder="1" applyAlignment="1">
      <alignment horizontal="center" vertical="center" wrapText="1"/>
    </xf>
    <xf numFmtId="165" fontId="5" fillId="0" borderId="4" xfId="15" applyNumberFormat="1" applyFont="1" applyBorder="1" applyAlignment="1">
      <alignment vertical="center" wrapText="1"/>
    </xf>
    <xf numFmtId="0" fontId="6" fillId="0" borderId="4" xfId="0" applyFont="1" applyBorder="1" applyAlignment="1">
      <alignment horizontal="center"/>
    </xf>
    <xf numFmtId="43" fontId="5" fillId="0" borderId="4" xfId="15" applyNumberFormat="1" applyFont="1" applyBorder="1" applyAlignment="1">
      <alignment vertical="center" wrapText="1"/>
    </xf>
    <xf numFmtId="166" fontId="4" fillId="0" borderId="0" xfId="0" applyNumberFormat="1" applyFont="1" applyAlignment="1">
      <alignment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165" fontId="5" fillId="0" borderId="4" xfId="15" applyNumberFormat="1" applyFont="1" applyBorder="1" applyAlignment="1">
      <alignment horizontal="right" vertical="center"/>
    </xf>
    <xf numFmtId="165" fontId="5" fillId="0" borderId="4" xfId="15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43" fontId="5" fillId="0" borderId="4" xfId="15" applyNumberFormat="1" applyFont="1" applyBorder="1" applyAlignment="1">
      <alignment horizontal="right" vertical="center"/>
    </xf>
    <xf numFmtId="43" fontId="5" fillId="0" borderId="4" xfId="15" applyNumberFormat="1" applyFont="1" applyBorder="1" applyAlignment="1">
      <alignment vertical="center"/>
    </xf>
    <xf numFmtId="0" fontId="6" fillId="0" borderId="5" xfId="0" applyFont="1" applyBorder="1" applyAlignment="1">
      <alignment horizontal="left"/>
    </xf>
    <xf numFmtId="164" fontId="6" fillId="0" borderId="4" xfId="0" applyNumberFormat="1" applyFont="1" applyBorder="1" applyAlignment="1" quotePrefix="1">
      <alignment horizontal="center" vertical="center"/>
    </xf>
    <xf numFmtId="0" fontId="6" fillId="0" borderId="7" xfId="0" applyFont="1" applyBorder="1" applyAlignment="1">
      <alignment vertical="center" wrapText="1"/>
    </xf>
    <xf numFmtId="165" fontId="6" fillId="0" borderId="4" xfId="15" applyNumberFormat="1" applyFont="1" applyBorder="1" applyAlignment="1">
      <alignment horizontal="right" vertical="center"/>
    </xf>
    <xf numFmtId="165" fontId="4" fillId="0" borderId="0" xfId="0" applyNumberFormat="1" applyFont="1" applyAlignment="1">
      <alignment/>
    </xf>
    <xf numFmtId="0" fontId="5" fillId="0" borderId="5" xfId="0" applyFont="1" applyBorder="1" applyAlignment="1" quotePrefix="1">
      <alignment vertical="center"/>
    </xf>
    <xf numFmtId="0" fontId="5" fillId="0" borderId="5" xfId="0" applyFont="1" applyBorder="1" applyAlignment="1" quotePrefix="1">
      <alignment horizontal="center" vertical="center"/>
    </xf>
    <xf numFmtId="165" fontId="5" fillId="0" borderId="4" xfId="15" applyNumberFormat="1" applyFont="1" applyBorder="1" applyAlignment="1">
      <alignment/>
    </xf>
    <xf numFmtId="43" fontId="5" fillId="0" borderId="4" xfId="15" applyFont="1" applyBorder="1" applyAlignment="1">
      <alignment/>
    </xf>
    <xf numFmtId="0" fontId="5" fillId="0" borderId="5" xfId="0" applyFont="1" applyBorder="1" applyAlignment="1">
      <alignment horizontal="left" vertical="center" wrapText="1"/>
    </xf>
    <xf numFmtId="165" fontId="5" fillId="0" borderId="4" xfId="0" applyNumberFormat="1" applyFont="1" applyBorder="1" applyAlignment="1">
      <alignment horizontal="center" vertical="center"/>
    </xf>
    <xf numFmtId="165" fontId="6" fillId="0" borderId="4" xfId="15" applyNumberFormat="1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43" fontId="4" fillId="0" borderId="0" xfId="15" applyFont="1" applyAlignment="1">
      <alignment/>
    </xf>
    <xf numFmtId="164" fontId="6" fillId="0" borderId="8" xfId="0" applyNumberFormat="1" applyFont="1" applyBorder="1" applyAlignment="1" quotePrefix="1">
      <alignment horizontal="center" vertical="center"/>
    </xf>
    <xf numFmtId="0" fontId="5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 quotePrefix="1">
      <alignment horizontal="center" vertical="center"/>
    </xf>
    <xf numFmtId="0" fontId="6" fillId="0" borderId="5" xfId="0" applyFont="1" applyBorder="1" applyAlignment="1">
      <alignment vertical="center" wrapText="1"/>
    </xf>
    <xf numFmtId="1" fontId="6" fillId="0" borderId="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9" xfId="0" applyFont="1" applyBorder="1" applyAlignment="1">
      <alignment vertical="center" wrapText="1"/>
    </xf>
    <xf numFmtId="43" fontId="7" fillId="0" borderId="5" xfId="15" applyFont="1" applyBorder="1" applyAlignment="1">
      <alignment horizontal="left"/>
    </xf>
    <xf numFmtId="43" fontId="5" fillId="0" borderId="5" xfId="15" applyFont="1" applyBorder="1" applyAlignment="1">
      <alignment horizontal="center"/>
    </xf>
    <xf numFmtId="165" fontId="7" fillId="0" borderId="4" xfId="15" applyNumberFormat="1" applyFont="1" applyBorder="1" applyAlignment="1">
      <alignment horizontal="right" vertical="center"/>
    </xf>
    <xf numFmtId="43" fontId="5" fillId="0" borderId="5" xfId="15" applyFont="1" applyBorder="1" applyAlignment="1">
      <alignment horizontal="left"/>
    </xf>
    <xf numFmtId="0" fontId="6" fillId="0" borderId="7" xfId="0" applyFont="1" applyBorder="1" applyAlignment="1">
      <alignment vertical="center"/>
    </xf>
    <xf numFmtId="0" fontId="6" fillId="0" borderId="9" xfId="0" applyFont="1" applyBorder="1" applyAlignment="1">
      <alignment/>
    </xf>
    <xf numFmtId="0" fontId="5" fillId="0" borderId="9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5" xfId="0" applyFont="1" applyBorder="1" applyAlignment="1">
      <alignment/>
    </xf>
    <xf numFmtId="164" fontId="6" fillId="0" borderId="4" xfId="0" applyNumberFormat="1" applyFont="1" applyBorder="1" applyAlignment="1" quotePrefix="1">
      <alignment horizontal="center"/>
    </xf>
    <xf numFmtId="0" fontId="8" fillId="0" borderId="5" xfId="0" applyFont="1" applyBorder="1" applyAlignment="1">
      <alignment/>
    </xf>
    <xf numFmtId="0" fontId="5" fillId="0" borderId="5" xfId="0" applyFont="1" applyFill="1" applyBorder="1" applyAlignment="1">
      <alignment/>
    </xf>
    <xf numFmtId="165" fontId="5" fillId="0" borderId="5" xfId="15" applyNumberFormat="1" applyFont="1" applyBorder="1" applyAlignment="1">
      <alignment/>
    </xf>
    <xf numFmtId="0" fontId="6" fillId="0" borderId="5" xfId="0" applyFont="1" applyBorder="1" applyAlignment="1">
      <alignment/>
    </xf>
    <xf numFmtId="0" fontId="5" fillId="0" borderId="5" xfId="0" applyFont="1" applyBorder="1" applyAlignment="1" quotePrefix="1">
      <alignment horizontal="center"/>
    </xf>
    <xf numFmtId="0" fontId="6" fillId="0" borderId="5" xfId="0" applyFont="1" applyFill="1" applyBorder="1" applyAlignment="1">
      <alignment horizontal="left"/>
    </xf>
    <xf numFmtId="164" fontId="6" fillId="0" borderId="8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165" fontId="5" fillId="0" borderId="8" xfId="0" applyNumberFormat="1" applyFont="1" applyBorder="1" applyAlignment="1">
      <alignment/>
    </xf>
    <xf numFmtId="169" fontId="4" fillId="0" borderId="0" xfId="0" applyNumberFormat="1" applyFont="1" applyAlignment="1">
      <alignment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 quotePrefix="1">
      <alignment horizontal="left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Border="1" applyAlignment="1" quotePrefix="1">
      <alignment/>
    </xf>
    <xf numFmtId="10" fontId="5" fillId="0" borderId="4" xfId="19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/>
    </xf>
    <xf numFmtId="0" fontId="6" fillId="0" borderId="5" xfId="0" applyFont="1" applyFill="1" applyBorder="1" applyAlignment="1">
      <alignment/>
    </xf>
    <xf numFmtId="10" fontId="5" fillId="0" borderId="5" xfId="19" applyNumberFormat="1" applyFont="1" applyBorder="1" applyAlignment="1">
      <alignment/>
    </xf>
    <xf numFmtId="0" fontId="5" fillId="0" borderId="5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6" fillId="0" borderId="5" xfId="0" applyFont="1" applyBorder="1" applyAlignment="1">
      <alignment horizontal="left" vertical="center"/>
    </xf>
    <xf numFmtId="164" fontId="4" fillId="0" borderId="0" xfId="0" applyNumberFormat="1" applyFont="1" applyAlignment="1">
      <alignment/>
    </xf>
    <xf numFmtId="0" fontId="5" fillId="0" borderId="5" xfId="0" applyFont="1" applyBorder="1" applyAlignment="1">
      <alignment horizontal="left" vertical="center"/>
    </xf>
    <xf numFmtId="164" fontId="6" fillId="0" borderId="8" xfId="0" applyNumberFormat="1" applyFont="1" applyBorder="1" applyAlignment="1" quotePrefix="1">
      <alignment horizont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164" fontId="6" fillId="0" borderId="12" xfId="0" applyNumberFormat="1" applyFont="1" applyBorder="1" applyAlignment="1" quotePrefix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10" fontId="5" fillId="0" borderId="12" xfId="19" applyNumberFormat="1" applyFont="1" applyBorder="1" applyAlignment="1">
      <alignment vertical="center"/>
    </xf>
    <xf numFmtId="10" fontId="5" fillId="0" borderId="13" xfId="19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64" fontId="4" fillId="0" borderId="1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164" fontId="4" fillId="0" borderId="15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7" fontId="5" fillId="0" borderId="4" xfId="15" applyNumberFormat="1" applyFont="1" applyBorder="1" applyAlignment="1">
      <alignment horizontal="right" vertical="center"/>
    </xf>
    <xf numFmtId="165" fontId="5" fillId="0" borderId="16" xfId="15" applyNumberFormat="1" applyFont="1" applyBorder="1" applyAlignment="1">
      <alignment vertical="center" wrapText="1"/>
    </xf>
    <xf numFmtId="165" fontId="6" fillId="0" borderId="4" xfId="15" applyNumberFormat="1" applyFont="1" applyBorder="1" applyAlignment="1">
      <alignment/>
    </xf>
    <xf numFmtId="165" fontId="5" fillId="0" borderId="5" xfId="0" applyNumberFormat="1" applyFont="1" applyBorder="1" applyAlignment="1">
      <alignment/>
    </xf>
    <xf numFmtId="43" fontId="5" fillId="0" borderId="5" xfId="0" applyNumberFormat="1" applyFont="1" applyBorder="1" applyAlignment="1">
      <alignment/>
    </xf>
    <xf numFmtId="165" fontId="8" fillId="0" borderId="5" xfId="0" applyNumberFormat="1" applyFont="1" applyBorder="1" applyAlignment="1">
      <alignment/>
    </xf>
    <xf numFmtId="167" fontId="8" fillId="0" borderId="5" xfId="0" applyNumberFormat="1" applyFont="1" applyBorder="1" applyAlignment="1">
      <alignment/>
    </xf>
    <xf numFmtId="165" fontId="6" fillId="0" borderId="5" xfId="0" applyNumberFormat="1" applyFont="1" applyBorder="1" applyAlignment="1">
      <alignment/>
    </xf>
    <xf numFmtId="43" fontId="6" fillId="0" borderId="5" xfId="0" applyNumberFormat="1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4" xfId="0" applyFont="1" applyFill="1" applyBorder="1" applyAlignment="1">
      <alignment vertical="center" wrapText="1"/>
    </xf>
    <xf numFmtId="165" fontId="5" fillId="0" borderId="4" xfId="15" applyNumberFormat="1" applyFont="1" applyFill="1" applyBorder="1" applyAlignment="1">
      <alignment vertical="center"/>
    </xf>
    <xf numFmtId="2" fontId="5" fillId="0" borderId="4" xfId="15" applyNumberFormat="1" applyFont="1" applyFill="1" applyBorder="1" applyAlignment="1">
      <alignment vertical="center"/>
    </xf>
    <xf numFmtId="167" fontId="5" fillId="0" borderId="4" xfId="15" applyNumberFormat="1" applyFont="1" applyBorder="1" applyAlignment="1">
      <alignment/>
    </xf>
    <xf numFmtId="165" fontId="5" fillId="0" borderId="8" xfId="15" applyNumberFormat="1" applyFont="1" applyBorder="1" applyAlignment="1">
      <alignment vertical="center"/>
    </xf>
    <xf numFmtId="164" fontId="5" fillId="0" borderId="4" xfId="15" applyNumberFormat="1" applyFont="1" applyFill="1" applyBorder="1" applyAlignment="1">
      <alignment vertical="center"/>
    </xf>
    <xf numFmtId="165" fontId="5" fillId="0" borderId="6" xfId="0" applyNumberFormat="1" applyFont="1" applyBorder="1" applyAlignment="1">
      <alignment/>
    </xf>
    <xf numFmtId="165" fontId="6" fillId="0" borderId="4" xfId="0" applyNumberFormat="1" applyFont="1" applyBorder="1" applyAlignment="1">
      <alignment/>
    </xf>
    <xf numFmtId="43" fontId="6" fillId="0" borderId="4" xfId="15" applyNumberFormat="1" applyFont="1" applyBorder="1" applyAlignment="1">
      <alignment/>
    </xf>
    <xf numFmtId="169" fontId="6" fillId="0" borderId="4" xfId="15" applyNumberFormat="1" applyFont="1" applyBorder="1" applyAlignment="1">
      <alignment/>
    </xf>
    <xf numFmtId="165" fontId="5" fillId="0" borderId="4" xfId="0" applyNumberFormat="1" applyFont="1" applyBorder="1" applyAlignment="1">
      <alignment/>
    </xf>
    <xf numFmtId="43" fontId="5" fillId="0" borderId="4" xfId="0" applyNumberFormat="1" applyFont="1" applyBorder="1" applyAlignment="1">
      <alignment/>
    </xf>
    <xf numFmtId="0" fontId="5" fillId="0" borderId="4" xfId="0" applyFont="1" applyFill="1" applyBorder="1" applyAlignment="1">
      <alignment/>
    </xf>
    <xf numFmtId="165" fontId="5" fillId="0" borderId="5" xfId="15" applyNumberFormat="1" applyFont="1" applyBorder="1" applyAlignment="1">
      <alignment vertical="center"/>
    </xf>
    <xf numFmtId="0" fontId="5" fillId="0" borderId="0" xfId="0" applyFont="1" applyAlignment="1">
      <alignment/>
    </xf>
    <xf numFmtId="164" fontId="5" fillId="0" borderId="4" xfId="15" applyNumberFormat="1" applyFont="1" applyBorder="1" applyAlignment="1">
      <alignment vertical="center"/>
    </xf>
    <xf numFmtId="1" fontId="5" fillId="0" borderId="4" xfId="15" applyNumberFormat="1" applyFont="1" applyBorder="1" applyAlignment="1">
      <alignment vertical="center"/>
    </xf>
    <xf numFmtId="43" fontId="6" fillId="0" borderId="4" xfId="15" applyFont="1" applyBorder="1" applyAlignment="1">
      <alignment/>
    </xf>
    <xf numFmtId="165" fontId="5" fillId="0" borderId="12" xfId="15" applyNumberFormat="1" applyFont="1" applyBorder="1" applyAlignment="1">
      <alignment/>
    </xf>
    <xf numFmtId="43" fontId="5" fillId="0" borderId="12" xfId="0" applyNumberFormat="1" applyFont="1" applyBorder="1" applyAlignment="1">
      <alignment/>
    </xf>
    <xf numFmtId="165" fontId="5" fillId="0" borderId="12" xfId="0" applyNumberFormat="1" applyFont="1" applyBorder="1" applyAlignment="1">
      <alignment/>
    </xf>
    <xf numFmtId="0" fontId="4" fillId="0" borderId="0" xfId="0" applyFont="1" applyFill="1" applyAlignment="1">
      <alignment/>
    </xf>
    <xf numFmtId="165" fontId="14" fillId="0" borderId="4" xfId="15" applyNumberFormat="1" applyFont="1" applyBorder="1" applyAlignment="1">
      <alignment horizontal="right" vertical="center"/>
    </xf>
    <xf numFmtId="43" fontId="0" fillId="0" borderId="0" xfId="15" applyAlignment="1">
      <alignment/>
    </xf>
    <xf numFmtId="2" fontId="5" fillId="0" borderId="4" xfId="0" applyNumberFormat="1" applyFont="1" applyBorder="1" applyAlignment="1">
      <alignment/>
    </xf>
    <xf numFmtId="43" fontId="5" fillId="0" borderId="4" xfId="15" applyNumberFormat="1" applyFont="1" applyBorder="1" applyAlignment="1">
      <alignment horizontal="right"/>
    </xf>
    <xf numFmtId="165" fontId="5" fillId="0" borderId="4" xfId="15" applyNumberFormat="1" applyFont="1" applyFill="1" applyBorder="1" applyAlignment="1">
      <alignment/>
    </xf>
    <xf numFmtId="43" fontId="5" fillId="0" borderId="4" xfId="15" applyFont="1" applyFill="1" applyBorder="1" applyAlignment="1">
      <alignment/>
    </xf>
    <xf numFmtId="43" fontId="5" fillId="0" borderId="4" xfId="15" applyNumberFormat="1" applyFont="1" applyBorder="1" applyAlignment="1">
      <alignment horizontal="center" vertical="center"/>
    </xf>
    <xf numFmtId="165" fontId="5" fillId="0" borderId="4" xfId="15" applyNumberFormat="1" applyFont="1" applyFill="1" applyBorder="1" applyAlignment="1">
      <alignment vertical="center" wrapText="1"/>
    </xf>
    <xf numFmtId="43" fontId="5" fillId="0" borderId="4" xfId="15" applyNumberFormat="1" applyFont="1" applyBorder="1" applyAlignment="1">
      <alignment/>
    </xf>
    <xf numFmtId="165" fontId="5" fillId="0" borderId="4" xfId="15" applyNumberFormat="1" applyFont="1" applyFill="1" applyBorder="1" applyAlignment="1">
      <alignment horizontal="right"/>
    </xf>
    <xf numFmtId="165" fontId="5" fillId="0" borderId="4" xfId="15" applyNumberFormat="1" applyFont="1" applyFill="1" applyBorder="1" applyAlignment="1">
      <alignment horizontal="right" vertical="center"/>
    </xf>
    <xf numFmtId="167" fontId="5" fillId="0" borderId="8" xfId="15" applyNumberFormat="1" applyFont="1" applyBorder="1" applyAlignment="1">
      <alignment vertical="center"/>
    </xf>
    <xf numFmtId="167" fontId="5" fillId="0" borderId="4" xfId="15" applyNumberFormat="1" applyFont="1" applyFill="1" applyBorder="1" applyAlignment="1">
      <alignment horizontal="right" vertical="center"/>
    </xf>
    <xf numFmtId="43" fontId="6" fillId="0" borderId="4" xfId="0" applyNumberFormat="1" applyFont="1" applyBorder="1" applyAlignment="1">
      <alignment/>
    </xf>
    <xf numFmtId="43" fontId="2" fillId="0" borderId="4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43" fontId="5" fillId="0" borderId="4" xfId="0" applyNumberFormat="1" applyFont="1" applyBorder="1" applyAlignment="1">
      <alignment vertical="center"/>
    </xf>
    <xf numFmtId="43" fontId="5" fillId="0" borderId="4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7" sqref="K7"/>
    </sheetView>
  </sheetViews>
  <sheetFormatPr defaultColWidth="9.140625" defaultRowHeight="12.75"/>
  <cols>
    <col min="1" max="1" width="5.00390625" style="4" customWidth="1"/>
    <col min="2" max="2" width="24.7109375" style="4" customWidth="1"/>
    <col min="3" max="3" width="8.7109375" style="4" customWidth="1"/>
    <col min="4" max="5" width="10.140625" style="4" customWidth="1"/>
    <col min="6" max="6" width="9.7109375" style="4" customWidth="1"/>
    <col min="7" max="7" width="10.28125" style="4" customWidth="1"/>
    <col min="8" max="8" width="9.8515625" style="4" customWidth="1"/>
    <col min="9" max="9" width="9.28125" style="4" customWidth="1"/>
    <col min="10" max="10" width="11.00390625" style="4" customWidth="1"/>
    <col min="11" max="11" width="12.00390625" style="4" customWidth="1"/>
    <col min="12" max="12" width="10.421875" style="4" bestFit="1" customWidth="1"/>
    <col min="13" max="16384" width="9.140625" style="4" customWidth="1"/>
  </cols>
  <sheetData>
    <row r="1" spans="1:4" ht="15.75">
      <c r="A1" s="118" t="s">
        <v>154</v>
      </c>
      <c r="B1" s="1"/>
      <c r="C1" s="2"/>
      <c r="D1" s="3"/>
    </row>
    <row r="2" spans="1:5" ht="15.75">
      <c r="A2" s="2"/>
      <c r="B2" s="5"/>
      <c r="C2" s="2"/>
      <c r="D2" s="6"/>
      <c r="E2" s="7"/>
    </row>
    <row r="3" spans="1:10" ht="16.5">
      <c r="A3" s="175" t="s">
        <v>155</v>
      </c>
      <c r="B3" s="175"/>
      <c r="C3" s="175"/>
      <c r="D3" s="175"/>
      <c r="E3" s="175"/>
      <c r="F3" s="175"/>
      <c r="G3" s="175"/>
      <c r="H3" s="175"/>
      <c r="I3" s="175"/>
      <c r="J3" s="119"/>
    </row>
    <row r="4" spans="1:10" ht="15.75">
      <c r="A4" s="176" t="s">
        <v>158</v>
      </c>
      <c r="B4" s="176"/>
      <c r="C4" s="176"/>
      <c r="D4" s="176"/>
      <c r="E4" s="176"/>
      <c r="F4" s="176"/>
      <c r="G4" s="176"/>
      <c r="H4" s="176"/>
      <c r="I4" s="176"/>
      <c r="J4" s="120"/>
    </row>
    <row r="5" spans="1:7" ht="15.75">
      <c r="A5" s="5"/>
      <c r="B5" s="8"/>
      <c r="C5" s="6"/>
      <c r="D5" s="9"/>
      <c r="F5" s="9"/>
      <c r="G5" s="10"/>
    </row>
    <row r="6" spans="1:11" ht="25.5" customHeight="1">
      <c r="A6" s="177" t="s">
        <v>151</v>
      </c>
      <c r="B6" s="177" t="s">
        <v>0</v>
      </c>
      <c r="C6" s="173" t="s">
        <v>1</v>
      </c>
      <c r="D6" s="173" t="s">
        <v>157</v>
      </c>
      <c r="E6" s="173" t="s">
        <v>2</v>
      </c>
      <c r="F6" s="173" t="s">
        <v>159</v>
      </c>
      <c r="G6" s="173" t="s">
        <v>156</v>
      </c>
      <c r="H6" s="178" t="s">
        <v>3</v>
      </c>
      <c r="I6" s="179"/>
      <c r="J6" s="12"/>
      <c r="K6" s="12"/>
    </row>
    <row r="7" spans="1:11" ht="25.5" customHeight="1">
      <c r="A7" s="177"/>
      <c r="B7" s="177"/>
      <c r="C7" s="174"/>
      <c r="D7" s="174"/>
      <c r="E7" s="174"/>
      <c r="F7" s="174"/>
      <c r="G7" s="174"/>
      <c r="H7" s="13" t="s">
        <v>4</v>
      </c>
      <c r="I7" s="11" t="s">
        <v>5</v>
      </c>
      <c r="J7" s="12"/>
      <c r="K7" s="12"/>
    </row>
    <row r="8" spans="1:12" ht="15.75">
      <c r="A8" s="114" t="s">
        <v>6</v>
      </c>
      <c r="B8" s="116" t="s">
        <v>7</v>
      </c>
      <c r="C8" s="11" t="s">
        <v>8</v>
      </c>
      <c r="D8" s="14">
        <v>1</v>
      </c>
      <c r="E8" s="13">
        <v>2</v>
      </c>
      <c r="F8" s="13"/>
      <c r="G8" s="13">
        <v>3</v>
      </c>
      <c r="H8" s="13" t="s">
        <v>9</v>
      </c>
      <c r="I8" s="11" t="s">
        <v>10</v>
      </c>
      <c r="J8" s="12"/>
      <c r="K8" s="12"/>
      <c r="L8" s="12"/>
    </row>
    <row r="9" spans="1:11" ht="15.75">
      <c r="A9" s="21" t="s">
        <v>6</v>
      </c>
      <c r="B9" s="115" t="s">
        <v>150</v>
      </c>
      <c r="C9" s="17"/>
      <c r="D9" s="15"/>
      <c r="E9" s="18"/>
      <c r="F9" s="18"/>
      <c r="G9" s="131"/>
      <c r="H9" s="19"/>
      <c r="I9" s="20"/>
      <c r="J9" s="12"/>
      <c r="K9" s="12"/>
    </row>
    <row r="10" spans="1:11" ht="15.75">
      <c r="A10" s="21" t="s">
        <v>11</v>
      </c>
      <c r="B10" s="115" t="s">
        <v>12</v>
      </c>
      <c r="C10" s="17"/>
      <c r="D10" s="15"/>
      <c r="E10" s="18"/>
      <c r="F10" s="22"/>
      <c r="G10" s="22"/>
      <c r="H10" s="19"/>
      <c r="I10" s="20"/>
      <c r="J10" s="12"/>
      <c r="K10" s="12"/>
    </row>
    <row r="11" spans="1:11" ht="15.75">
      <c r="A11" s="21"/>
      <c r="B11" s="16" t="s">
        <v>13</v>
      </c>
      <c r="C11" s="17" t="s">
        <v>14</v>
      </c>
      <c r="D11" s="23">
        <f>+D13+D23</f>
        <v>155789.83000000002</v>
      </c>
      <c r="E11" s="23">
        <f>+E13+E23</f>
        <v>192580</v>
      </c>
      <c r="F11" s="23">
        <f>+F13+F23</f>
        <v>46324.740000000005</v>
      </c>
      <c r="G11" s="23">
        <f>+G13+G23</f>
        <v>149216.4</v>
      </c>
      <c r="H11" s="19">
        <f>G11/D11</f>
        <v>0.9578057823158288</v>
      </c>
      <c r="I11" s="20">
        <f>G11/E11</f>
        <v>0.7748281233772977</v>
      </c>
      <c r="J11" s="24"/>
      <c r="K11" s="12"/>
    </row>
    <row r="12" spans="1:11" ht="15.75">
      <c r="A12" s="25" t="s">
        <v>15</v>
      </c>
      <c r="B12" s="16" t="s">
        <v>16</v>
      </c>
      <c r="C12" s="17" t="s">
        <v>14</v>
      </c>
      <c r="D12" s="26">
        <f>+D13+D25</f>
        <v>125486.95</v>
      </c>
      <c r="E12" s="26">
        <f>+E13+E25</f>
        <v>142800</v>
      </c>
      <c r="F12" s="27">
        <f>+F13+F25</f>
        <v>42089.520000000004</v>
      </c>
      <c r="G12" s="26">
        <f>+G13+G25</f>
        <v>119079.2</v>
      </c>
      <c r="H12" s="19">
        <f>G12/D12</f>
        <v>0.9489369213292697</v>
      </c>
      <c r="I12" s="20">
        <f>G12/E12</f>
        <v>0.8338879551820728</v>
      </c>
      <c r="J12" s="12"/>
      <c r="K12" s="12"/>
    </row>
    <row r="13" spans="1:11" ht="15.75">
      <c r="A13" s="28"/>
      <c r="B13" s="16" t="s">
        <v>17</v>
      </c>
      <c r="C13" s="17" t="s">
        <v>14</v>
      </c>
      <c r="D13" s="29">
        <f>+D15+D20</f>
        <v>122375.45</v>
      </c>
      <c r="E13" s="29">
        <f>E15+E20</f>
        <v>137000</v>
      </c>
      <c r="F13" s="29">
        <f>F20+F23</f>
        <v>41790.87</v>
      </c>
      <c r="G13" s="29">
        <f>G15+G20</f>
        <v>115913</v>
      </c>
      <c r="H13" s="19">
        <f>G13/D13</f>
        <v>0.9471916140042794</v>
      </c>
      <c r="I13" s="20">
        <f>G13/E13</f>
        <v>0.8460802919708029</v>
      </c>
      <c r="J13" s="12"/>
      <c r="K13" s="12"/>
    </row>
    <row r="14" spans="1:11" ht="15.75">
      <c r="A14" s="28"/>
      <c r="B14" s="41" t="s">
        <v>23</v>
      </c>
      <c r="C14" s="30"/>
      <c r="D14" s="29"/>
      <c r="E14" s="29"/>
      <c r="F14" s="122"/>
      <c r="G14" s="31"/>
      <c r="H14" s="19"/>
      <c r="I14" s="20"/>
      <c r="J14" s="12"/>
      <c r="K14" s="12"/>
    </row>
    <row r="15" spans="1:11" ht="15.75">
      <c r="A15" s="28"/>
      <c r="B15" s="33" t="s">
        <v>24</v>
      </c>
      <c r="C15" s="34" t="s">
        <v>25</v>
      </c>
      <c r="D15" s="35">
        <v>58220.45</v>
      </c>
      <c r="E15" s="36">
        <v>56000</v>
      </c>
      <c r="F15" s="121"/>
      <c r="G15" s="35">
        <v>64458</v>
      </c>
      <c r="H15" s="19">
        <f>G15/D15</f>
        <v>1.1071367534946914</v>
      </c>
      <c r="I15" s="20">
        <f>G15/E15</f>
        <v>1.1510357142857144</v>
      </c>
      <c r="J15" s="54"/>
      <c r="K15" s="12"/>
    </row>
    <row r="16" spans="1:11" ht="15.75">
      <c r="A16" s="28"/>
      <c r="B16" s="33" t="s">
        <v>18</v>
      </c>
      <c r="C16" s="37" t="s">
        <v>14</v>
      </c>
      <c r="D16" s="35">
        <v>58220.45</v>
      </c>
      <c r="E16" s="36">
        <f>+E15</f>
        <v>56000</v>
      </c>
      <c r="F16" s="35"/>
      <c r="G16" s="35">
        <v>64458</v>
      </c>
      <c r="H16" s="19">
        <f>G16/D16</f>
        <v>1.1071367534946914</v>
      </c>
      <c r="I16" s="20">
        <f>G16/E16</f>
        <v>1.1510357142857144</v>
      </c>
      <c r="J16" s="54"/>
      <c r="K16" s="12"/>
    </row>
    <row r="17" spans="1:11" ht="15.75">
      <c r="A17" s="28"/>
      <c r="B17" s="33" t="s">
        <v>19</v>
      </c>
      <c r="C17" s="38" t="s">
        <v>20</v>
      </c>
      <c r="D17" s="155">
        <f>+D18/D16*10</f>
        <v>62.28501669087065</v>
      </c>
      <c r="E17" s="39">
        <f>E18/E15*10</f>
        <v>62.699999999999996</v>
      </c>
      <c r="F17" s="39"/>
      <c r="G17" s="39">
        <f>+G18/G16*10</f>
        <v>60.35449439945391</v>
      </c>
      <c r="H17" s="19">
        <f>G17/D17</f>
        <v>0.9690050289141257</v>
      </c>
      <c r="I17" s="20">
        <f>G17/E17</f>
        <v>0.9625916172161709</v>
      </c>
      <c r="J17" s="12"/>
      <c r="K17" s="12"/>
    </row>
    <row r="18" spans="1:11" ht="15.75">
      <c r="A18" s="28"/>
      <c r="B18" s="33" t="s">
        <v>21</v>
      </c>
      <c r="C18" s="34" t="s">
        <v>22</v>
      </c>
      <c r="D18" s="35">
        <v>362626.17</v>
      </c>
      <c r="E18" s="35">
        <v>351120</v>
      </c>
      <c r="F18" s="121"/>
      <c r="G18" s="153">
        <v>389033</v>
      </c>
      <c r="H18" s="19">
        <f>G18/D18</f>
        <v>1.0728210818320145</v>
      </c>
      <c r="I18" s="20">
        <f>G18/E18</f>
        <v>1.107977329687856</v>
      </c>
      <c r="J18" s="12"/>
      <c r="K18" s="12"/>
    </row>
    <row r="19" spans="1:11" ht="15.75">
      <c r="A19" s="28"/>
      <c r="B19" s="72" t="s">
        <v>152</v>
      </c>
      <c r="C19" s="37"/>
      <c r="D19" s="39"/>
      <c r="E19" s="35"/>
      <c r="F19" s="121"/>
      <c r="G19" s="35"/>
      <c r="H19" s="19"/>
      <c r="I19" s="20"/>
      <c r="J19" s="12"/>
      <c r="K19" s="12"/>
    </row>
    <row r="20" spans="1:11" ht="15.75">
      <c r="A20" s="28"/>
      <c r="B20" s="33" t="s">
        <v>153</v>
      </c>
      <c r="C20" s="37" t="s">
        <v>14</v>
      </c>
      <c r="D20" s="35">
        <v>64155</v>
      </c>
      <c r="E20" s="35">
        <v>81000</v>
      </c>
      <c r="F20" s="121">
        <f>+G20-14198</f>
        <v>37257</v>
      </c>
      <c r="G20" s="35">
        <v>51455</v>
      </c>
      <c r="H20" s="19">
        <f>G20/D20</f>
        <v>0.8020419297015041</v>
      </c>
      <c r="I20" s="20">
        <f>G20/E20</f>
        <v>0.6352469135802469</v>
      </c>
      <c r="J20" s="45"/>
      <c r="K20" s="24"/>
    </row>
    <row r="21" spans="1:11" ht="15.75">
      <c r="A21" s="28"/>
      <c r="B21" s="33" t="s">
        <v>31</v>
      </c>
      <c r="C21" s="38" t="s">
        <v>20</v>
      </c>
      <c r="D21" s="35"/>
      <c r="E21" s="39">
        <f>+E22/E20*10</f>
        <v>54.3</v>
      </c>
      <c r="F21" s="121"/>
      <c r="G21" s="35"/>
      <c r="H21" s="19"/>
      <c r="I21" s="20"/>
      <c r="J21" s="12"/>
      <c r="K21" s="45"/>
    </row>
    <row r="22" spans="1:11" ht="15.75">
      <c r="A22" s="28"/>
      <c r="B22" s="33" t="s">
        <v>21</v>
      </c>
      <c r="C22" s="34" t="s">
        <v>22</v>
      </c>
      <c r="D22" s="35"/>
      <c r="E22" s="35">
        <v>439830</v>
      </c>
      <c r="F22" s="121"/>
      <c r="G22" s="35"/>
      <c r="H22" s="19"/>
      <c r="I22" s="20"/>
      <c r="J22" s="12"/>
      <c r="K22" s="12"/>
    </row>
    <row r="23" spans="1:11" ht="15.75">
      <c r="A23" s="42"/>
      <c r="B23" s="43" t="s">
        <v>26</v>
      </c>
      <c r="C23" s="38" t="s">
        <v>14</v>
      </c>
      <c r="D23" s="44">
        <f>+D25+D29+D43+D54</f>
        <v>33414.380000000005</v>
      </c>
      <c r="E23" s="44">
        <f>+E25+E29+E43+E54</f>
        <v>55580</v>
      </c>
      <c r="F23" s="44">
        <f>+F25+F29+F43+F54</f>
        <v>4533.87</v>
      </c>
      <c r="G23" s="44">
        <f>+G25+G29+G43+G54</f>
        <v>33303.4</v>
      </c>
      <c r="H23" s="19">
        <f>G23/D23</f>
        <v>0.9966786754684659</v>
      </c>
      <c r="I23" s="20">
        <f>G23/E23</f>
        <v>0.5991975530766463</v>
      </c>
      <c r="J23" s="45"/>
      <c r="K23" s="45"/>
    </row>
    <row r="24" spans="1:11" ht="15.75">
      <c r="A24" s="42"/>
      <c r="B24" s="16" t="s">
        <v>27</v>
      </c>
      <c r="C24" s="38"/>
      <c r="D24" s="26"/>
      <c r="E24" s="26"/>
      <c r="F24" s="26"/>
      <c r="G24" s="26"/>
      <c r="H24" s="19"/>
      <c r="I24" s="20"/>
      <c r="J24" s="45"/>
      <c r="K24" s="12"/>
    </row>
    <row r="25" spans="1:11" ht="15.75">
      <c r="A25" s="42"/>
      <c r="B25" s="46" t="s">
        <v>28</v>
      </c>
      <c r="C25" s="38" t="s">
        <v>14</v>
      </c>
      <c r="D25" s="156">
        <f>2941.92+169.58</f>
        <v>3111.5</v>
      </c>
      <c r="E25" s="36">
        <v>5800</v>
      </c>
      <c r="F25" s="26">
        <f>+G25-2867.55</f>
        <v>298.6500000000001</v>
      </c>
      <c r="G25" s="36">
        <f>2867.55+298.65</f>
        <v>3166.2000000000003</v>
      </c>
      <c r="H25" s="19">
        <f>G25/D25</f>
        <v>1.0175799453639724</v>
      </c>
      <c r="I25" s="20">
        <f>G25/E25</f>
        <v>0.545896551724138</v>
      </c>
      <c r="J25" s="45"/>
      <c r="K25" s="12"/>
    </row>
    <row r="26" spans="1:11" ht="15.75">
      <c r="A26" s="42"/>
      <c r="B26" s="46" t="s">
        <v>29</v>
      </c>
      <c r="C26" s="47" t="s">
        <v>30</v>
      </c>
      <c r="D26" s="156">
        <v>1785.6</v>
      </c>
      <c r="E26" s="48">
        <f>+E25</f>
        <v>5800</v>
      </c>
      <c r="F26" s="132">
        <f>+G26-495</f>
        <v>740</v>
      </c>
      <c r="G26" s="157">
        <v>1235</v>
      </c>
      <c r="H26" s="19">
        <f>G26/D26</f>
        <v>0.691644265232975</v>
      </c>
      <c r="I26" s="20">
        <f>G26/E26</f>
        <v>0.21293103448275863</v>
      </c>
      <c r="J26" s="12"/>
      <c r="K26" s="12"/>
    </row>
    <row r="27" spans="1:11" ht="15.75">
      <c r="A27" s="42"/>
      <c r="B27" s="46" t="s">
        <v>31</v>
      </c>
      <c r="C27" s="38" t="s">
        <v>20</v>
      </c>
      <c r="D27" s="156">
        <v>52.63</v>
      </c>
      <c r="E27" s="49">
        <f>+E28/E26*10</f>
        <v>38.793103448275865</v>
      </c>
      <c r="F27" s="133">
        <f>+F28/F26*10</f>
        <v>52.24871621621621</v>
      </c>
      <c r="G27" s="158">
        <f>+G28/G26*10</f>
        <v>52.23</v>
      </c>
      <c r="H27" s="19">
        <f>G27/D27</f>
        <v>0.9923997719931597</v>
      </c>
      <c r="I27" s="20">
        <f>G27/E27</f>
        <v>1.3463733333333332</v>
      </c>
      <c r="J27" s="12"/>
      <c r="K27" s="12"/>
    </row>
    <row r="28" spans="1:11" ht="15.75">
      <c r="A28" s="42"/>
      <c r="B28" s="50" t="s">
        <v>32</v>
      </c>
      <c r="C28" s="38" t="s">
        <v>33</v>
      </c>
      <c r="D28" s="156">
        <f>+(D26*D27)/10</f>
        <v>9397.612799999999</v>
      </c>
      <c r="E28" s="48">
        <v>22500</v>
      </c>
      <c r="F28" s="132">
        <f>+G28-2584</f>
        <v>3866.4049999999997</v>
      </c>
      <c r="G28" s="157">
        <f>+G26*5.223</f>
        <v>6450.405</v>
      </c>
      <c r="H28" s="19">
        <f>G28/D28</f>
        <v>0.6863876111175808</v>
      </c>
      <c r="I28" s="20">
        <f>G28/E28</f>
        <v>0.28668466666666664</v>
      </c>
      <c r="J28" s="12"/>
      <c r="K28" s="12"/>
    </row>
    <row r="29" spans="1:11" ht="15.75">
      <c r="A29" s="42" t="s">
        <v>34</v>
      </c>
      <c r="B29" s="16" t="s">
        <v>35</v>
      </c>
      <c r="C29" s="51" t="s">
        <v>14</v>
      </c>
      <c r="D29" s="52">
        <f>+D31+D36+D41</f>
        <v>1679.15</v>
      </c>
      <c r="E29" s="52">
        <f>+E31+E36+E41</f>
        <v>3650</v>
      </c>
      <c r="F29" s="52">
        <f>+F31+F36+F41</f>
        <v>223.36000000000004</v>
      </c>
      <c r="G29" s="52">
        <f>+G31+G36+G41</f>
        <v>1536.75</v>
      </c>
      <c r="H29" s="19">
        <f>G29/D29</f>
        <v>0.9151951880415686</v>
      </c>
      <c r="I29" s="20">
        <f>G29/E29</f>
        <v>0.421027397260274</v>
      </c>
      <c r="J29" s="12"/>
      <c r="K29" s="45"/>
    </row>
    <row r="30" spans="1:11" ht="15.75">
      <c r="A30" s="42"/>
      <c r="B30" s="16" t="s">
        <v>36</v>
      </c>
      <c r="C30" s="38"/>
      <c r="D30" s="26"/>
      <c r="E30" s="26"/>
      <c r="F30" s="26"/>
      <c r="G30" s="26"/>
      <c r="H30" s="19"/>
      <c r="I30" s="20"/>
      <c r="J30" s="12"/>
      <c r="K30" s="12"/>
    </row>
    <row r="31" spans="1:11" ht="15.75">
      <c r="A31" s="42"/>
      <c r="B31" s="46" t="s">
        <v>37</v>
      </c>
      <c r="C31" s="38" t="s">
        <v>14</v>
      </c>
      <c r="D31" s="39">
        <f>782.67+95.64</f>
        <v>878.31</v>
      </c>
      <c r="E31" s="36">
        <v>1850</v>
      </c>
      <c r="F31" s="26">
        <f>+G31-698.7</f>
        <v>105.69000000000005</v>
      </c>
      <c r="G31" s="36">
        <f>698.7+105.69</f>
        <v>804.3900000000001</v>
      </c>
      <c r="H31" s="19">
        <f>G31/D31</f>
        <v>0.9158383714178367</v>
      </c>
      <c r="I31" s="20">
        <f>G31/E31</f>
        <v>0.43480540540540547</v>
      </c>
      <c r="J31" s="12"/>
      <c r="K31" s="12"/>
    </row>
    <row r="32" spans="1:11" ht="15.75">
      <c r="A32" s="42"/>
      <c r="B32" s="46" t="s">
        <v>38</v>
      </c>
      <c r="C32" s="47" t="s">
        <v>30</v>
      </c>
      <c r="D32" s="39">
        <v>432.665</v>
      </c>
      <c r="E32" s="48">
        <f>+E31</f>
        <v>1850</v>
      </c>
      <c r="F32" s="132">
        <f>+G32-93</f>
        <v>304</v>
      </c>
      <c r="G32" s="157">
        <v>397</v>
      </c>
      <c r="H32" s="19">
        <f>G32/D32</f>
        <v>0.9175690199114788</v>
      </c>
      <c r="I32" s="20">
        <f>G32/E32</f>
        <v>0.2145945945945946</v>
      </c>
      <c r="J32" s="12"/>
      <c r="K32" s="12"/>
    </row>
    <row r="33" spans="1:11" ht="15.75">
      <c r="A33" s="42"/>
      <c r="B33" s="46" t="s">
        <v>39</v>
      </c>
      <c r="C33" s="38" t="s">
        <v>20</v>
      </c>
      <c r="D33" s="159">
        <v>151.32</v>
      </c>
      <c r="E33" s="49">
        <f>+E34/E32*10</f>
        <v>148.7027027027027</v>
      </c>
      <c r="F33" s="133">
        <f>+F34/F32*10</f>
        <v>132.3078947368421</v>
      </c>
      <c r="G33" s="158">
        <f>+G34/G32*10</f>
        <v>132.79999999999998</v>
      </c>
      <c r="H33" s="19">
        <f>G33/D33</f>
        <v>0.8776103621464445</v>
      </c>
      <c r="I33" s="20">
        <f>G33/E33</f>
        <v>0.8930570701563066</v>
      </c>
      <c r="J33" s="12"/>
      <c r="K33" s="12"/>
    </row>
    <row r="34" spans="1:11" ht="15.75">
      <c r="A34" s="42"/>
      <c r="B34" s="53" t="s">
        <v>40</v>
      </c>
      <c r="C34" s="38" t="s">
        <v>33</v>
      </c>
      <c r="D34" s="39">
        <f>(D33*D32)/10</f>
        <v>6547.08678</v>
      </c>
      <c r="E34" s="29">
        <v>27510</v>
      </c>
      <c r="F34" s="132">
        <f>+G34-1250</f>
        <v>4022.16</v>
      </c>
      <c r="G34" s="160">
        <f>+G32*13.28</f>
        <v>5272.16</v>
      </c>
      <c r="H34" s="19">
        <f>G34/D34</f>
        <v>0.8052680798588713</v>
      </c>
      <c r="I34" s="20">
        <f>G34/E34</f>
        <v>0.1916452199200291</v>
      </c>
      <c r="J34" s="12"/>
      <c r="K34" s="12"/>
    </row>
    <row r="35" spans="1:11" ht="15.75">
      <c r="A35" s="42"/>
      <c r="B35" s="16" t="s">
        <v>41</v>
      </c>
      <c r="C35" s="38"/>
      <c r="D35" s="26"/>
      <c r="E35" s="26"/>
      <c r="F35" s="26"/>
      <c r="G35" s="26"/>
      <c r="H35" s="19"/>
      <c r="I35" s="20"/>
      <c r="J35" s="54"/>
      <c r="K35" s="12"/>
    </row>
    <row r="36" spans="1:11" ht="15.75">
      <c r="A36" s="42"/>
      <c r="B36" s="46" t="s">
        <v>37</v>
      </c>
      <c r="C36" s="38" t="s">
        <v>14</v>
      </c>
      <c r="D36" s="39">
        <f>403.12+72.05</f>
        <v>475.17</v>
      </c>
      <c r="E36" s="36">
        <v>1100</v>
      </c>
      <c r="F36" s="26">
        <f>+G36-375.41</f>
        <v>78.87</v>
      </c>
      <c r="G36" s="36">
        <f>375.41+78.87</f>
        <v>454.28000000000003</v>
      </c>
      <c r="H36" s="19">
        <f>G36/D36</f>
        <v>0.9560367868341857</v>
      </c>
      <c r="I36" s="20">
        <f>G36/E36</f>
        <v>0.4129818181818182</v>
      </c>
      <c r="J36" s="54"/>
      <c r="K36" s="12"/>
    </row>
    <row r="37" spans="1:11" ht="15.75">
      <c r="A37" s="42"/>
      <c r="B37" s="46" t="s">
        <v>38</v>
      </c>
      <c r="C37" s="47" t="s">
        <v>30</v>
      </c>
      <c r="D37" s="39">
        <v>111.22</v>
      </c>
      <c r="E37" s="48">
        <f>+E36</f>
        <v>1100</v>
      </c>
      <c r="F37" s="132">
        <f>+G37-33</f>
        <v>64.5</v>
      </c>
      <c r="G37" s="157">
        <v>97.5</v>
      </c>
      <c r="H37" s="19">
        <f aca="true" t="shared" si="0" ref="H37:H42">G37/D37</f>
        <v>0.8766408919259127</v>
      </c>
      <c r="I37" s="20">
        <f>G37/E37</f>
        <v>0.08863636363636364</v>
      </c>
      <c r="J37" s="12"/>
      <c r="K37" s="12"/>
    </row>
    <row r="38" spans="1:11" ht="15.75">
      <c r="A38" s="42"/>
      <c r="B38" s="46" t="s">
        <v>39</v>
      </c>
      <c r="C38" s="38" t="s">
        <v>20</v>
      </c>
      <c r="D38" s="39">
        <v>143.57</v>
      </c>
      <c r="E38" s="49">
        <f>+E39/E37*10</f>
        <v>138</v>
      </c>
      <c r="F38" s="132">
        <f>+F39/F37*10</f>
        <v>136.1201550387597</v>
      </c>
      <c r="G38" s="158">
        <f>+G39/G37*10</f>
        <v>136.1</v>
      </c>
      <c r="H38" s="19">
        <f t="shared" si="0"/>
        <v>0.9479696315386222</v>
      </c>
      <c r="I38" s="20">
        <f>G38/E38</f>
        <v>0.986231884057971</v>
      </c>
      <c r="J38" s="12"/>
      <c r="K38" s="12"/>
    </row>
    <row r="39" spans="1:11" ht="15.75">
      <c r="A39" s="42"/>
      <c r="B39" s="53" t="s">
        <v>40</v>
      </c>
      <c r="C39" s="38" t="s">
        <v>33</v>
      </c>
      <c r="D39" s="39">
        <f>(D38*D37)/10</f>
        <v>1596.7855399999999</v>
      </c>
      <c r="E39" s="26">
        <v>15180</v>
      </c>
      <c r="F39" s="132">
        <f>+G39-449</f>
        <v>877.9749999999999</v>
      </c>
      <c r="G39" s="132">
        <f>+G37*13.61</f>
        <v>1326.975</v>
      </c>
      <c r="H39" s="19">
        <f t="shared" si="0"/>
        <v>0.8310289433106965</v>
      </c>
      <c r="I39" s="20">
        <f>G39/E39</f>
        <v>0.08741600790513833</v>
      </c>
      <c r="J39" s="12"/>
      <c r="K39" s="12"/>
    </row>
    <row r="40" spans="1:11" ht="15.75">
      <c r="A40" s="42"/>
      <c r="B40" s="16" t="s">
        <v>42</v>
      </c>
      <c r="C40" s="38"/>
      <c r="D40" s="26"/>
      <c r="E40" s="26"/>
      <c r="F40" s="26"/>
      <c r="G40" s="26"/>
      <c r="H40" s="19"/>
      <c r="I40" s="20"/>
      <c r="J40" s="12"/>
      <c r="K40" s="12"/>
    </row>
    <row r="41" spans="1:11" ht="15.75">
      <c r="A41" s="42"/>
      <c r="B41" s="46" t="s">
        <v>37</v>
      </c>
      <c r="C41" s="38" t="s">
        <v>14</v>
      </c>
      <c r="D41" s="161">
        <f>283.27+42.4</f>
        <v>325.66999999999996</v>
      </c>
      <c r="E41" s="36">
        <v>700</v>
      </c>
      <c r="F41" s="132">
        <f>+G41-239.28</f>
        <v>38.79999999999998</v>
      </c>
      <c r="G41" s="162">
        <f>239.28+38.8</f>
        <v>278.08</v>
      </c>
      <c r="H41" s="19">
        <f t="shared" si="0"/>
        <v>0.8538704823901496</v>
      </c>
      <c r="I41" s="20">
        <f aca="true" t="shared" si="1" ref="I41:I54">G41/E41</f>
        <v>0.3972571428571428</v>
      </c>
      <c r="J41" s="12"/>
      <c r="K41" s="12"/>
    </row>
    <row r="42" spans="1:11" ht="15.75">
      <c r="A42" s="42"/>
      <c r="B42" s="46" t="s">
        <v>38</v>
      </c>
      <c r="C42" s="47" t="s">
        <v>30</v>
      </c>
      <c r="D42" s="161">
        <v>124.3</v>
      </c>
      <c r="E42" s="29">
        <f>+E41</f>
        <v>700</v>
      </c>
      <c r="F42" s="132">
        <f>+G42-35</f>
        <v>80</v>
      </c>
      <c r="G42" s="160">
        <v>115</v>
      </c>
      <c r="H42" s="19">
        <f t="shared" si="0"/>
        <v>0.9251810136765889</v>
      </c>
      <c r="I42" s="20">
        <f t="shared" si="1"/>
        <v>0.16428571428571428</v>
      </c>
      <c r="J42" s="12"/>
      <c r="K42" s="12"/>
    </row>
    <row r="43" spans="1:11" ht="15.75">
      <c r="A43" s="42" t="s">
        <v>43</v>
      </c>
      <c r="B43" s="16" t="s">
        <v>44</v>
      </c>
      <c r="C43" s="38" t="s">
        <v>14</v>
      </c>
      <c r="D43" s="52">
        <f>+D45+D50</f>
        <v>16686.57</v>
      </c>
      <c r="E43" s="52">
        <f>+E45+E50</f>
        <v>31100</v>
      </c>
      <c r="F43" s="52">
        <f>+F45+F50</f>
        <v>3176.2899999999995</v>
      </c>
      <c r="G43" s="52">
        <f>+G45+G50</f>
        <v>16112.769999999999</v>
      </c>
      <c r="H43" s="19">
        <f>G43/D43</f>
        <v>0.9656130648779228</v>
      </c>
      <c r="I43" s="20">
        <f t="shared" si="1"/>
        <v>0.5180954983922829</v>
      </c>
      <c r="J43" s="12"/>
      <c r="K43" s="12"/>
    </row>
    <row r="44" spans="1:11" ht="15.75">
      <c r="A44" s="42"/>
      <c r="B44" s="16" t="s">
        <v>45</v>
      </c>
      <c r="C44" s="17"/>
      <c r="D44" s="26"/>
      <c r="E44" s="35"/>
      <c r="F44" s="26"/>
      <c r="G44" s="35"/>
      <c r="H44" s="19"/>
      <c r="I44" s="20"/>
      <c r="J44" s="12"/>
      <c r="K44" s="12"/>
    </row>
    <row r="45" spans="1:11" ht="15.75">
      <c r="A45" s="55"/>
      <c r="B45" s="56" t="s">
        <v>46</v>
      </c>
      <c r="C45" s="57" t="s">
        <v>14</v>
      </c>
      <c r="D45" s="48">
        <f>12634+3540.4</f>
        <v>16174.4</v>
      </c>
      <c r="E45" s="35">
        <v>30000</v>
      </c>
      <c r="F45" s="26">
        <f>+G45-12487.48</f>
        <v>3148.8899999999994</v>
      </c>
      <c r="G45" s="35">
        <f>12487.48+3148.89</f>
        <v>15636.369999999999</v>
      </c>
      <c r="H45" s="19">
        <f>G45/D45</f>
        <v>0.9667357058067069</v>
      </c>
      <c r="I45" s="20">
        <f t="shared" si="1"/>
        <v>0.5212123333333333</v>
      </c>
      <c r="J45" s="12"/>
      <c r="K45" s="12"/>
    </row>
    <row r="46" spans="1:11" ht="15.75">
      <c r="A46" s="55"/>
      <c r="B46" s="46" t="s">
        <v>38</v>
      </c>
      <c r="C46" s="58" t="s">
        <v>30</v>
      </c>
      <c r="D46" s="135">
        <v>9852</v>
      </c>
      <c r="E46" s="35">
        <f>+E45</f>
        <v>30000</v>
      </c>
      <c r="F46" s="132">
        <f>+G46-6034</f>
        <v>3224</v>
      </c>
      <c r="G46" s="163">
        <v>9258</v>
      </c>
      <c r="H46" s="19">
        <f>G46/D46</f>
        <v>0.9397076735688186</v>
      </c>
      <c r="I46" s="20">
        <f t="shared" si="1"/>
        <v>0.3086</v>
      </c>
      <c r="J46" s="45"/>
      <c r="K46" s="12"/>
    </row>
    <row r="47" spans="1:11" ht="15.75">
      <c r="A47" s="55"/>
      <c r="B47" s="46" t="s">
        <v>39</v>
      </c>
      <c r="C47" s="57" t="s">
        <v>20</v>
      </c>
      <c r="D47" s="164">
        <f>+D48/D46*10</f>
        <v>213</v>
      </c>
      <c r="E47" s="35">
        <f>+E48/E46*10</f>
        <v>206</v>
      </c>
      <c r="F47" s="133">
        <f>+F48/F46*10</f>
        <v>217.49844913151364</v>
      </c>
      <c r="G47" s="165">
        <f>+G48/G46*10</f>
        <v>217.5</v>
      </c>
      <c r="H47" s="19">
        <f>G47/D47</f>
        <v>1.0211267605633803</v>
      </c>
      <c r="I47" s="20">
        <f t="shared" si="1"/>
        <v>1.0558252427184467</v>
      </c>
      <c r="J47" s="12"/>
      <c r="K47" s="12"/>
    </row>
    <row r="48" spans="1:11" ht="15.75">
      <c r="A48" s="55"/>
      <c r="B48" s="53" t="s">
        <v>40</v>
      </c>
      <c r="C48" s="57" t="s">
        <v>33</v>
      </c>
      <c r="D48" s="135">
        <f>+D46*21.3</f>
        <v>209847.6</v>
      </c>
      <c r="E48" s="35">
        <v>618000</v>
      </c>
      <c r="F48" s="132">
        <f>+G48-131240</f>
        <v>70121.5</v>
      </c>
      <c r="G48" s="163">
        <f>+G46*21.75</f>
        <v>201361.5</v>
      </c>
      <c r="H48" s="19">
        <f>G48/D48</f>
        <v>0.959560652587878</v>
      </c>
      <c r="I48" s="20">
        <f t="shared" si="1"/>
        <v>0.3258276699029126</v>
      </c>
      <c r="J48" s="12"/>
      <c r="K48" s="12"/>
    </row>
    <row r="49" spans="1:11" ht="15.75">
      <c r="A49" s="55"/>
      <c r="B49" s="59" t="s">
        <v>47</v>
      </c>
      <c r="C49" s="17"/>
      <c r="D49" s="135"/>
      <c r="E49" s="35"/>
      <c r="F49" s="26"/>
      <c r="G49" s="35"/>
      <c r="H49" s="19"/>
      <c r="I49" s="20"/>
      <c r="J49" s="12"/>
      <c r="K49" s="12"/>
    </row>
    <row r="50" spans="1:11" ht="15.75">
      <c r="A50" s="55"/>
      <c r="B50" s="56" t="s">
        <v>46</v>
      </c>
      <c r="C50" s="57" t="s">
        <v>14</v>
      </c>
      <c r="D50" s="135">
        <f>455.64+56.53</f>
        <v>512.17</v>
      </c>
      <c r="E50" s="35">
        <v>1100</v>
      </c>
      <c r="F50" s="26">
        <f>+G50-449</f>
        <v>27.399999999999977</v>
      </c>
      <c r="G50" s="35">
        <f>449+27.4</f>
        <v>476.4</v>
      </c>
      <c r="H50" s="19">
        <f>G50/D50</f>
        <v>0.930159907843099</v>
      </c>
      <c r="I50" s="20">
        <f t="shared" si="1"/>
        <v>0.4330909090909091</v>
      </c>
      <c r="J50" s="12"/>
      <c r="K50" s="12"/>
    </row>
    <row r="51" spans="1:11" ht="15.75">
      <c r="A51" s="55"/>
      <c r="B51" s="46" t="s">
        <v>38</v>
      </c>
      <c r="C51" s="58" t="s">
        <v>30</v>
      </c>
      <c r="D51" s="135">
        <v>225</v>
      </c>
      <c r="E51" s="35">
        <f>+E50</f>
        <v>1100</v>
      </c>
      <c r="F51" s="132">
        <f>+G51-139</f>
        <v>59</v>
      </c>
      <c r="G51" s="163">
        <v>198</v>
      </c>
      <c r="H51" s="19">
        <f>G51/D51</f>
        <v>0.88</v>
      </c>
      <c r="I51" s="20">
        <f t="shared" si="1"/>
        <v>0.18</v>
      </c>
      <c r="J51" s="12"/>
      <c r="K51" s="12"/>
    </row>
    <row r="52" spans="1:11" ht="15.75">
      <c r="A52" s="55"/>
      <c r="B52" s="46" t="s">
        <v>39</v>
      </c>
      <c r="C52" s="57" t="s">
        <v>20</v>
      </c>
      <c r="D52" s="164">
        <f>+D53/D51*10</f>
        <v>125</v>
      </c>
      <c r="E52" s="35">
        <f>+E53/E51*10</f>
        <v>12</v>
      </c>
      <c r="F52" s="136">
        <f>+F53/F51*10</f>
        <v>142.464406779661</v>
      </c>
      <c r="G52" s="165">
        <f>+G53/G51*10</f>
        <v>142.3</v>
      </c>
      <c r="H52" s="19">
        <f>G52/D52</f>
        <v>1.1384</v>
      </c>
      <c r="I52" s="20">
        <f t="shared" si="1"/>
        <v>11.858333333333334</v>
      </c>
      <c r="J52" s="12"/>
      <c r="K52" s="12"/>
    </row>
    <row r="53" spans="1:11" ht="15.75">
      <c r="A53" s="55"/>
      <c r="B53" s="53" t="s">
        <v>40</v>
      </c>
      <c r="C53" s="57" t="s">
        <v>33</v>
      </c>
      <c r="D53" s="135">
        <f>+D51*12.5</f>
        <v>2812.5</v>
      </c>
      <c r="E53" s="35">
        <v>1320</v>
      </c>
      <c r="F53" s="132">
        <f>+G53-1977</f>
        <v>840.54</v>
      </c>
      <c r="G53" s="163">
        <f>+G51*14.23</f>
        <v>2817.54</v>
      </c>
      <c r="H53" s="19">
        <f>G53/D53</f>
        <v>1.001792</v>
      </c>
      <c r="I53" s="20">
        <f t="shared" si="1"/>
        <v>2.1345</v>
      </c>
      <c r="J53" s="12"/>
      <c r="K53" s="12"/>
    </row>
    <row r="54" spans="1:11" ht="15.75">
      <c r="A54" s="60" t="s">
        <v>48</v>
      </c>
      <c r="B54" s="16" t="s">
        <v>49</v>
      </c>
      <c r="C54" s="38" t="s">
        <v>50</v>
      </c>
      <c r="D54" s="52">
        <f>+D56+D61+D67+D71</f>
        <v>11937.16</v>
      </c>
      <c r="E54" s="52">
        <f>+E56+E61+E67+E71</f>
        <v>15030</v>
      </c>
      <c r="F54" s="52">
        <f>+F56+F61+F67+F71</f>
        <v>835.5700000000002</v>
      </c>
      <c r="G54" s="52">
        <f>+G56+G61+G67+G71</f>
        <v>12487.68</v>
      </c>
      <c r="H54" s="19">
        <f>G54/D54</f>
        <v>1.0461181721615527</v>
      </c>
      <c r="I54" s="20">
        <f t="shared" si="1"/>
        <v>0.8308502994011976</v>
      </c>
      <c r="J54" s="12"/>
      <c r="K54" s="12"/>
    </row>
    <row r="55" spans="1:11" ht="15.75">
      <c r="A55" s="42"/>
      <c r="B55" s="16" t="s">
        <v>51</v>
      </c>
      <c r="C55" s="51" t="s">
        <v>14</v>
      </c>
      <c r="D55" s="137"/>
      <c r="E55" s="61"/>
      <c r="F55" s="26"/>
      <c r="G55" s="62"/>
      <c r="H55" s="19"/>
      <c r="I55" s="20"/>
      <c r="J55" s="12"/>
      <c r="K55" s="12"/>
    </row>
    <row r="56" spans="1:11" ht="15.75">
      <c r="A56" s="42"/>
      <c r="B56" s="46" t="s">
        <v>37</v>
      </c>
      <c r="C56" s="38" t="s">
        <v>14</v>
      </c>
      <c r="D56" s="161">
        <f>3480.02+332</f>
        <v>3812.02</v>
      </c>
      <c r="E56" s="36">
        <v>4950</v>
      </c>
      <c r="F56" s="26">
        <f>+G56-3522.68</f>
        <v>266.0999999999999</v>
      </c>
      <c r="G56" s="36">
        <f>3522.68+266.1</f>
        <v>3788.7799999999997</v>
      </c>
      <c r="H56" s="19">
        <f>G56/D56</f>
        <v>0.9939034947350748</v>
      </c>
      <c r="I56" s="20">
        <f>G56/E56</f>
        <v>0.765410101010101</v>
      </c>
      <c r="J56" s="12"/>
      <c r="K56" s="12"/>
    </row>
    <row r="57" spans="1:11" ht="15.75">
      <c r="A57" s="42"/>
      <c r="B57" s="46" t="s">
        <v>38</v>
      </c>
      <c r="C57" s="47" t="s">
        <v>30</v>
      </c>
      <c r="D57" s="161">
        <v>2068.33</v>
      </c>
      <c r="E57" s="48">
        <f>+E56</f>
        <v>4950</v>
      </c>
      <c r="F57" s="132">
        <f>+G57-634</f>
        <v>1355</v>
      </c>
      <c r="G57" s="157">
        <v>1989</v>
      </c>
      <c r="H57" s="19">
        <f>G57/D57</f>
        <v>0.9616453854075511</v>
      </c>
      <c r="I57" s="20">
        <f>G57/E57</f>
        <v>0.4018181818181818</v>
      </c>
      <c r="J57" s="12"/>
      <c r="K57" s="12"/>
    </row>
    <row r="58" spans="1:11" ht="15.75">
      <c r="A58" s="42"/>
      <c r="B58" s="46" t="s">
        <v>39</v>
      </c>
      <c r="C58" s="38" t="s">
        <v>20</v>
      </c>
      <c r="D58" s="49">
        <f>+D59/D57*10</f>
        <v>47.80001257052792</v>
      </c>
      <c r="E58" s="49">
        <f>+E59/E57*10</f>
        <v>46.8</v>
      </c>
      <c r="F58" s="133">
        <f>+F59/F57*10</f>
        <v>45.17566051660516</v>
      </c>
      <c r="G58" s="158">
        <f>+G59/G57*10</f>
        <v>45.18</v>
      </c>
      <c r="H58" s="19">
        <f>G58/D58</f>
        <v>0.9451880359516194</v>
      </c>
      <c r="I58" s="20">
        <f>G58/E58</f>
        <v>0.9653846153846154</v>
      </c>
      <c r="J58" s="12"/>
      <c r="K58" s="12"/>
    </row>
    <row r="59" spans="1:11" ht="15.75">
      <c r="A59" s="42"/>
      <c r="B59" s="53" t="s">
        <v>40</v>
      </c>
      <c r="C59" s="38" t="s">
        <v>33</v>
      </c>
      <c r="D59" s="156">
        <v>9886.62</v>
      </c>
      <c r="E59" s="26">
        <v>23166</v>
      </c>
      <c r="F59" s="132">
        <f>+G59-2865</f>
        <v>6121.302</v>
      </c>
      <c r="G59" s="132">
        <f>+G57*4.518</f>
        <v>8986.302</v>
      </c>
      <c r="H59" s="19">
        <f>G59/D59</f>
        <v>0.9089357131153012</v>
      </c>
      <c r="I59" s="20">
        <f>G59/E59</f>
        <v>0.38790909090909087</v>
      </c>
      <c r="J59" s="12"/>
      <c r="K59" s="12"/>
    </row>
    <row r="60" spans="1:11" ht="15.75">
      <c r="A60" s="42"/>
      <c r="B60" s="16" t="s">
        <v>52</v>
      </c>
      <c r="C60" s="38"/>
      <c r="D60" s="26"/>
      <c r="E60" s="26"/>
      <c r="F60" s="26"/>
      <c r="G60" s="40"/>
      <c r="H60" s="19"/>
      <c r="I60" s="20"/>
      <c r="J60" s="12"/>
      <c r="K60" s="12"/>
    </row>
    <row r="61" spans="1:11" ht="15.75">
      <c r="A61" s="42"/>
      <c r="B61" s="46" t="s">
        <v>53</v>
      </c>
      <c r="C61" s="38" t="s">
        <v>14</v>
      </c>
      <c r="D61" s="161">
        <f>5511.42+389.2</f>
        <v>5900.62</v>
      </c>
      <c r="E61" s="36">
        <v>6600</v>
      </c>
      <c r="F61" s="26">
        <f>+G61-5547.55</f>
        <v>281.5500000000002</v>
      </c>
      <c r="G61" s="36">
        <f>5547.55+281.55</f>
        <v>5829.1</v>
      </c>
      <c r="H61" s="19">
        <f>G61/D61</f>
        <v>0.9878792398086982</v>
      </c>
      <c r="I61" s="20">
        <f>G61/E61</f>
        <v>0.8831969696969697</v>
      </c>
      <c r="J61" s="12"/>
      <c r="K61" s="12"/>
    </row>
    <row r="62" spans="1:11" ht="15.75">
      <c r="A62" s="42"/>
      <c r="B62" s="56" t="s">
        <v>54</v>
      </c>
      <c r="C62" s="47" t="s">
        <v>30</v>
      </c>
      <c r="D62" s="48"/>
      <c r="E62" s="26"/>
      <c r="F62" s="26"/>
      <c r="G62" s="26"/>
      <c r="H62" s="19"/>
      <c r="I62" s="20"/>
      <c r="J62" s="12"/>
      <c r="K62" s="12"/>
    </row>
    <row r="63" spans="1:11" ht="15.75">
      <c r="A63" s="42"/>
      <c r="B63" s="46" t="s">
        <v>38</v>
      </c>
      <c r="C63" s="47" t="s">
        <v>30</v>
      </c>
      <c r="D63" s="48">
        <v>4228</v>
      </c>
      <c r="E63" s="48">
        <f>+E61</f>
        <v>6600</v>
      </c>
      <c r="F63" s="26">
        <f>+G63-3177</f>
        <v>852</v>
      </c>
      <c r="G63" s="48">
        <v>4029</v>
      </c>
      <c r="H63" s="19">
        <f>G63/D63</f>
        <v>0.9529328287606433</v>
      </c>
      <c r="I63" s="20">
        <f>G63/E63</f>
        <v>0.6104545454545455</v>
      </c>
      <c r="J63" s="12"/>
      <c r="K63" s="12"/>
    </row>
    <row r="64" spans="1:11" ht="15.75">
      <c r="A64" s="42"/>
      <c r="B64" s="46" t="s">
        <v>55</v>
      </c>
      <c r="C64" s="38" t="s">
        <v>20</v>
      </c>
      <c r="D64" s="48">
        <v>1020.19</v>
      </c>
      <c r="E64" s="48">
        <f>+E65/E63*10</f>
        <v>1060</v>
      </c>
      <c r="F64" s="49">
        <f>+F65/F63*10</f>
        <v>994.1889319248826</v>
      </c>
      <c r="G64" s="49">
        <f>+G65/G63*10</f>
        <v>988.9300000000001</v>
      </c>
      <c r="H64" s="19">
        <f>G64/D64</f>
        <v>0.9693586488791304</v>
      </c>
      <c r="I64" s="20">
        <f>G64/E64</f>
        <v>0.9329528301886794</v>
      </c>
      <c r="J64" s="12"/>
      <c r="K64" s="12"/>
    </row>
    <row r="65" spans="1:11" ht="15.75">
      <c r="A65" s="42"/>
      <c r="B65" s="53" t="s">
        <v>40</v>
      </c>
      <c r="C65" s="38" t="s">
        <v>33</v>
      </c>
      <c r="D65" s="48">
        <f>+(D64*D63)/10</f>
        <v>431336.33200000005</v>
      </c>
      <c r="E65" s="26">
        <v>699600</v>
      </c>
      <c r="F65" s="26">
        <f>+G65-313735</f>
        <v>84704.897</v>
      </c>
      <c r="G65" s="26">
        <f>+G63*98.893</f>
        <v>398439.897</v>
      </c>
      <c r="H65" s="19">
        <f>G65/D65</f>
        <v>0.9237336793599847</v>
      </c>
      <c r="I65" s="20">
        <f>G65/E65</f>
        <v>0.5695252958833619</v>
      </c>
      <c r="J65" s="12"/>
      <c r="K65" s="12"/>
    </row>
    <row r="66" spans="1:11" ht="15.75">
      <c r="A66" s="42"/>
      <c r="B66" s="59" t="s">
        <v>56</v>
      </c>
      <c r="C66" s="38"/>
      <c r="D66" s="26"/>
      <c r="E66" s="26"/>
      <c r="F66" s="26"/>
      <c r="G66" s="26"/>
      <c r="H66" s="19"/>
      <c r="I66" s="20"/>
      <c r="J66" s="12"/>
      <c r="K66" s="12"/>
    </row>
    <row r="67" spans="1:11" ht="15.75">
      <c r="A67" s="42"/>
      <c r="B67" s="46" t="s">
        <v>37</v>
      </c>
      <c r="C67" s="38" t="s">
        <v>14</v>
      </c>
      <c r="D67" s="48">
        <f>992+83.4</f>
        <v>1075.4</v>
      </c>
      <c r="E67" s="26">
        <v>1500</v>
      </c>
      <c r="F67" s="26">
        <f>+G67-1320.88</f>
        <v>142.26</v>
      </c>
      <c r="G67" s="26">
        <f>1320.88+142.26</f>
        <v>1463.14</v>
      </c>
      <c r="H67" s="19">
        <f aca="true" t="shared" si="2" ref="H67:H73">G67/D67</f>
        <v>1.360554212386089</v>
      </c>
      <c r="I67" s="20">
        <f aca="true" t="shared" si="3" ref="I67:I73">G67/E67</f>
        <v>0.9754266666666668</v>
      </c>
      <c r="J67" s="12"/>
      <c r="K67" s="12"/>
    </row>
    <row r="68" spans="1:11" ht="15.75">
      <c r="A68" s="42"/>
      <c r="B68" s="46" t="s">
        <v>38</v>
      </c>
      <c r="C68" s="47" t="s">
        <v>30</v>
      </c>
      <c r="D68" s="134">
        <v>235.2</v>
      </c>
      <c r="E68" s="48">
        <f>+E67</f>
        <v>1500</v>
      </c>
      <c r="F68" s="26">
        <f>+G68-186</f>
        <v>129</v>
      </c>
      <c r="G68" s="48">
        <v>315</v>
      </c>
      <c r="H68" s="19">
        <f t="shared" si="2"/>
        <v>1.3392857142857144</v>
      </c>
      <c r="I68" s="20">
        <f t="shared" si="3"/>
        <v>0.21</v>
      </c>
      <c r="J68" s="12"/>
      <c r="K68" s="12"/>
    </row>
    <row r="69" spans="1:11" ht="15.75">
      <c r="A69" s="42"/>
      <c r="B69" s="46" t="s">
        <v>39</v>
      </c>
      <c r="C69" s="38" t="s">
        <v>20</v>
      </c>
      <c r="D69" s="134">
        <v>87.3</v>
      </c>
      <c r="E69" s="49">
        <f>+E70/E68*10</f>
        <v>100</v>
      </c>
      <c r="F69" s="49">
        <f>+F70/F68*10</f>
        <v>87.88992248062014</v>
      </c>
      <c r="G69" s="49">
        <f>+G70/G68*10</f>
        <v>88.11999999999999</v>
      </c>
      <c r="H69" s="19">
        <f t="shared" si="2"/>
        <v>1.0093928980526918</v>
      </c>
      <c r="I69" s="20">
        <f t="shared" si="3"/>
        <v>0.8811999999999999</v>
      </c>
      <c r="J69" s="12"/>
      <c r="K69" s="12"/>
    </row>
    <row r="70" spans="1:11" ht="15.75">
      <c r="A70" s="42"/>
      <c r="B70" s="63" t="s">
        <v>40</v>
      </c>
      <c r="C70" s="38" t="s">
        <v>33</v>
      </c>
      <c r="D70" s="134">
        <f>+D68*8.73</f>
        <v>2053.296</v>
      </c>
      <c r="E70" s="26">
        <v>15000</v>
      </c>
      <c r="F70" s="26">
        <f>+G70-1642</f>
        <v>1133.7799999999997</v>
      </c>
      <c r="G70" s="26">
        <f>+G68*8.812</f>
        <v>2775.7799999999997</v>
      </c>
      <c r="H70" s="19">
        <f t="shared" si="2"/>
        <v>1.3518654884634267</v>
      </c>
      <c r="I70" s="20">
        <f t="shared" si="3"/>
        <v>0.185052</v>
      </c>
      <c r="J70" s="12"/>
      <c r="K70" s="12"/>
    </row>
    <row r="71" spans="1:11" ht="15.75">
      <c r="A71" s="42"/>
      <c r="B71" s="64" t="s">
        <v>57</v>
      </c>
      <c r="C71" s="65" t="s">
        <v>58</v>
      </c>
      <c r="D71" s="66">
        <f>SUM(D72:D73)</f>
        <v>1149.12</v>
      </c>
      <c r="E71" s="66">
        <f>SUM(E72:E73)</f>
        <v>1980</v>
      </c>
      <c r="F71" s="66">
        <f>SUM(F72:F73)</f>
        <v>145.66000000000008</v>
      </c>
      <c r="G71" s="66">
        <f>G72+G73</f>
        <v>1406.66</v>
      </c>
      <c r="H71" s="19">
        <f t="shared" si="2"/>
        <v>1.2241193260930106</v>
      </c>
      <c r="I71" s="20">
        <f t="shared" si="3"/>
        <v>0.7104343434343435</v>
      </c>
      <c r="J71" s="12"/>
      <c r="K71" s="12"/>
    </row>
    <row r="72" spans="1:11" ht="15.75">
      <c r="A72" s="42"/>
      <c r="B72" s="67" t="s">
        <v>59</v>
      </c>
      <c r="C72" s="65" t="s">
        <v>14</v>
      </c>
      <c r="D72" s="35">
        <f>857+77.62</f>
        <v>934.62</v>
      </c>
      <c r="E72" s="35">
        <v>1800</v>
      </c>
      <c r="F72" s="26">
        <f>+G72-1192</f>
        <v>67.16000000000008</v>
      </c>
      <c r="G72" s="35">
        <f>1192+67.16</f>
        <v>1259.16</v>
      </c>
      <c r="H72" s="19">
        <f t="shared" si="2"/>
        <v>1.3472427296655325</v>
      </c>
      <c r="I72" s="20">
        <f t="shared" si="3"/>
        <v>0.6995333333333333</v>
      </c>
      <c r="J72" s="12"/>
      <c r="K72" s="12"/>
    </row>
    <row r="73" spans="1:11" ht="15.75">
      <c r="A73" s="42"/>
      <c r="B73" s="67" t="s">
        <v>60</v>
      </c>
      <c r="C73" s="65" t="s">
        <v>58</v>
      </c>
      <c r="D73" s="35">
        <f>141+73.5</f>
        <v>214.5</v>
      </c>
      <c r="E73" s="35">
        <v>180</v>
      </c>
      <c r="F73" s="26">
        <f>+G73-69</f>
        <v>78.5</v>
      </c>
      <c r="G73" s="35">
        <f>69+78.5</f>
        <v>147.5</v>
      </c>
      <c r="H73" s="19">
        <f t="shared" si="2"/>
        <v>0.6876456876456877</v>
      </c>
      <c r="I73" s="20">
        <f t="shared" si="3"/>
        <v>0.8194444444444444</v>
      </c>
      <c r="J73" s="12"/>
      <c r="K73" s="24"/>
    </row>
    <row r="74" spans="1:11" ht="15.75">
      <c r="A74" s="60">
        <v>2</v>
      </c>
      <c r="B74" s="68" t="s">
        <v>61</v>
      </c>
      <c r="C74" s="38"/>
      <c r="D74" s="15"/>
      <c r="E74" s="15"/>
      <c r="F74" s="15"/>
      <c r="G74" s="15"/>
      <c r="H74" s="19"/>
      <c r="I74" s="20"/>
      <c r="J74" s="12"/>
      <c r="K74" s="12"/>
    </row>
    <row r="75" spans="1:11" ht="15.75">
      <c r="A75" s="60">
        <v>3</v>
      </c>
      <c r="B75" s="68" t="s">
        <v>62</v>
      </c>
      <c r="C75" s="38"/>
      <c r="D75" s="15"/>
      <c r="E75" s="26"/>
      <c r="F75" s="26"/>
      <c r="G75" s="26"/>
      <c r="H75" s="19"/>
      <c r="I75" s="20"/>
      <c r="J75" s="45"/>
      <c r="K75" s="12"/>
    </row>
    <row r="76" spans="1:11" ht="15.75">
      <c r="A76" s="60" t="s">
        <v>63</v>
      </c>
      <c r="B76" s="69" t="s">
        <v>64</v>
      </c>
      <c r="C76" s="70"/>
      <c r="D76" s="15"/>
      <c r="E76" s="26"/>
      <c r="F76" s="26"/>
      <c r="G76" s="40"/>
      <c r="H76" s="19"/>
      <c r="I76" s="20"/>
      <c r="J76" s="12"/>
      <c r="K76" s="12"/>
    </row>
    <row r="77" spans="1:11" ht="15.75">
      <c r="A77" s="71" t="s">
        <v>7</v>
      </c>
      <c r="B77" s="72" t="s">
        <v>65</v>
      </c>
      <c r="C77" s="73"/>
      <c r="D77" s="74"/>
      <c r="E77" s="62"/>
      <c r="F77" s="62"/>
      <c r="G77" s="62"/>
      <c r="H77" s="19"/>
      <c r="I77" s="20"/>
      <c r="J77" s="12"/>
      <c r="K77" s="12"/>
    </row>
    <row r="78" spans="1:11" ht="15.75">
      <c r="A78" s="71" t="s">
        <v>66</v>
      </c>
      <c r="B78" s="41" t="s">
        <v>67</v>
      </c>
      <c r="C78" s="37"/>
      <c r="D78" s="62"/>
      <c r="E78" s="62"/>
      <c r="F78" s="62"/>
      <c r="G78" s="62"/>
      <c r="H78" s="19"/>
      <c r="I78" s="20"/>
      <c r="J78" s="12"/>
      <c r="K78" s="12"/>
    </row>
    <row r="79" spans="1:11" ht="15.75">
      <c r="A79" s="71" t="s">
        <v>15</v>
      </c>
      <c r="B79" s="75" t="s">
        <v>68</v>
      </c>
      <c r="C79" s="37" t="s">
        <v>14</v>
      </c>
      <c r="D79" s="62"/>
      <c r="E79" s="62"/>
      <c r="F79" s="62"/>
      <c r="G79" s="62"/>
      <c r="H79" s="19"/>
      <c r="I79" s="20"/>
      <c r="J79" s="12"/>
      <c r="K79" s="12"/>
    </row>
    <row r="80" spans="1:11" ht="15.75">
      <c r="A80" s="76"/>
      <c r="B80" s="77" t="s">
        <v>69</v>
      </c>
      <c r="C80" s="37"/>
      <c r="D80" s="75"/>
      <c r="E80" s="62"/>
      <c r="F80" s="62"/>
      <c r="G80" s="62"/>
      <c r="H80" s="19"/>
      <c r="I80" s="20"/>
      <c r="J80" s="12"/>
      <c r="K80" s="12"/>
    </row>
    <row r="81" spans="1:11" ht="15.75">
      <c r="A81" s="76"/>
      <c r="B81" s="75" t="s">
        <v>70</v>
      </c>
      <c r="C81" s="38" t="s">
        <v>71</v>
      </c>
      <c r="D81" s="75"/>
      <c r="E81" s="75"/>
      <c r="F81" s="75"/>
      <c r="G81" s="62"/>
      <c r="H81" s="19"/>
      <c r="I81" s="20"/>
      <c r="J81" s="12"/>
      <c r="K81" s="12"/>
    </row>
    <row r="82" spans="1:11" ht="15.75">
      <c r="A82" s="76"/>
      <c r="B82" s="78" t="s">
        <v>72</v>
      </c>
      <c r="C82" s="38" t="s">
        <v>71</v>
      </c>
      <c r="D82" s="75"/>
      <c r="E82" s="62"/>
      <c r="F82" s="62"/>
      <c r="G82" s="62"/>
      <c r="H82" s="19"/>
      <c r="I82" s="20"/>
      <c r="J82" s="12"/>
      <c r="K82" s="12"/>
    </row>
    <row r="83" spans="1:11" ht="15.75">
      <c r="A83" s="76"/>
      <c r="B83" s="75" t="s">
        <v>73</v>
      </c>
      <c r="C83" s="38" t="s">
        <v>71</v>
      </c>
      <c r="D83" s="75"/>
      <c r="E83" s="62"/>
      <c r="F83" s="62"/>
      <c r="G83" s="62"/>
      <c r="H83" s="19"/>
      <c r="I83" s="20"/>
      <c r="J83" s="12"/>
      <c r="K83" s="12"/>
    </row>
    <row r="84" spans="1:11" ht="15.75">
      <c r="A84" s="76"/>
      <c r="B84" s="53" t="s">
        <v>74</v>
      </c>
      <c r="C84" s="37" t="s">
        <v>14</v>
      </c>
      <c r="D84" s="75"/>
      <c r="E84" s="62"/>
      <c r="F84" s="62"/>
      <c r="G84" s="62"/>
      <c r="H84" s="19"/>
      <c r="I84" s="20"/>
      <c r="J84" s="12"/>
      <c r="K84" s="12"/>
    </row>
    <row r="85" spans="1:11" ht="15.75">
      <c r="A85" s="71" t="s">
        <v>34</v>
      </c>
      <c r="B85" s="75" t="s">
        <v>75</v>
      </c>
      <c r="C85" s="37" t="s">
        <v>14</v>
      </c>
      <c r="D85" s="75"/>
      <c r="E85" s="62"/>
      <c r="F85" s="62"/>
      <c r="G85" s="62"/>
      <c r="H85" s="19"/>
      <c r="I85" s="20"/>
      <c r="J85" s="12"/>
      <c r="K85" s="12"/>
    </row>
    <row r="86" spans="1:11" ht="15.75">
      <c r="A86" s="71" t="s">
        <v>43</v>
      </c>
      <c r="B86" s="75" t="s">
        <v>76</v>
      </c>
      <c r="C86" s="37" t="s">
        <v>14</v>
      </c>
      <c r="D86" s="75"/>
      <c r="E86" s="62"/>
      <c r="F86" s="62"/>
      <c r="G86" s="62"/>
      <c r="H86" s="19"/>
      <c r="I86" s="20"/>
      <c r="J86" s="12"/>
      <c r="K86" s="12"/>
    </row>
    <row r="87" spans="1:11" ht="15.75">
      <c r="A87" s="71" t="s">
        <v>77</v>
      </c>
      <c r="B87" s="75" t="s">
        <v>78</v>
      </c>
      <c r="C87" s="37" t="s">
        <v>14</v>
      </c>
      <c r="D87" s="79"/>
      <c r="E87" s="48"/>
      <c r="F87" s="62"/>
      <c r="G87" s="48"/>
      <c r="H87" s="19"/>
      <c r="I87" s="20"/>
      <c r="J87" s="12"/>
      <c r="K87" s="12"/>
    </row>
    <row r="88" spans="1:11" ht="15.75">
      <c r="A88" s="71" t="s">
        <v>79</v>
      </c>
      <c r="B88" s="75" t="s">
        <v>80</v>
      </c>
      <c r="C88" s="37" t="s">
        <v>81</v>
      </c>
      <c r="D88" s="79"/>
      <c r="E88" s="48"/>
      <c r="F88" s="62"/>
      <c r="G88" s="62"/>
      <c r="H88" s="19"/>
      <c r="I88" s="20"/>
      <c r="J88" s="12"/>
      <c r="K88" s="12"/>
    </row>
    <row r="89" spans="1:11" ht="15.75">
      <c r="A89" s="76" t="s">
        <v>82</v>
      </c>
      <c r="B89" s="80" t="s">
        <v>83</v>
      </c>
      <c r="C89" s="81"/>
      <c r="D89" s="75"/>
      <c r="E89" s="62"/>
      <c r="F89" s="62"/>
      <c r="G89" s="62"/>
      <c r="H89" s="19"/>
      <c r="I89" s="20"/>
      <c r="J89" s="12"/>
      <c r="K89" s="12"/>
    </row>
    <row r="90" spans="1:11" ht="16.5">
      <c r="A90" s="76"/>
      <c r="B90" s="75" t="s">
        <v>84</v>
      </c>
      <c r="C90" s="37" t="s">
        <v>85</v>
      </c>
      <c r="D90" s="75"/>
      <c r="E90" s="62"/>
      <c r="F90" s="62"/>
      <c r="G90" s="62"/>
      <c r="H90" s="19"/>
      <c r="I90" s="20"/>
      <c r="J90" s="12"/>
      <c r="K90" s="12"/>
    </row>
    <row r="91" spans="1:11" ht="15.75">
      <c r="A91" s="76"/>
      <c r="B91" s="75" t="s">
        <v>86</v>
      </c>
      <c r="C91" s="38" t="s">
        <v>71</v>
      </c>
      <c r="D91" s="75"/>
      <c r="E91" s="62"/>
      <c r="F91" s="62"/>
      <c r="G91" s="62"/>
      <c r="H91" s="19"/>
      <c r="I91" s="20"/>
      <c r="J91" s="12"/>
      <c r="K91" s="12"/>
    </row>
    <row r="92" spans="1:11" ht="15.75">
      <c r="A92" s="71" t="s">
        <v>8</v>
      </c>
      <c r="B92" s="82" t="s">
        <v>87</v>
      </c>
      <c r="C92" s="81"/>
      <c r="D92" s="75"/>
      <c r="E92" s="62"/>
      <c r="F92" s="62"/>
      <c r="G92" s="62"/>
      <c r="H92" s="19"/>
      <c r="I92" s="20"/>
      <c r="J92" s="12"/>
      <c r="K92" s="12"/>
    </row>
    <row r="93" spans="1:10" ht="15.75">
      <c r="A93" s="83" t="s">
        <v>88</v>
      </c>
      <c r="B93" s="72" t="s">
        <v>89</v>
      </c>
      <c r="C93" s="73"/>
      <c r="D93" s="84"/>
      <c r="E93" s="74"/>
      <c r="F93" s="85"/>
      <c r="G93" s="19"/>
      <c r="H93" s="20"/>
      <c r="I93" s="62"/>
      <c r="J93" s="12"/>
    </row>
    <row r="94" spans="1:10" ht="15.75">
      <c r="A94" s="76" t="s">
        <v>66</v>
      </c>
      <c r="B94" s="80" t="s">
        <v>90</v>
      </c>
      <c r="C94" s="37" t="s">
        <v>14</v>
      </c>
      <c r="D94" s="166">
        <f>D95+D101</f>
        <v>35692.345</v>
      </c>
      <c r="E94" s="138">
        <f>E95+E101</f>
        <v>48000</v>
      </c>
      <c r="F94" s="138">
        <f>F95+F101</f>
        <v>5149.070000000001</v>
      </c>
      <c r="G94" s="138">
        <f>G95+G101</f>
        <v>32590.32</v>
      </c>
      <c r="H94" s="19">
        <f aca="true" t="shared" si="4" ref="H94:H99">G94/D94</f>
        <v>0.913089907653868</v>
      </c>
      <c r="I94" s="20">
        <f aca="true" t="shared" si="5" ref="I94:I99">G94/E94</f>
        <v>0.678965</v>
      </c>
      <c r="J94" s="12"/>
    </row>
    <row r="95" spans="1:10" ht="15.75">
      <c r="A95" s="71" t="s">
        <v>15</v>
      </c>
      <c r="B95" s="80" t="s">
        <v>91</v>
      </c>
      <c r="C95" s="38" t="s">
        <v>71</v>
      </c>
      <c r="D95" s="148">
        <f>D96+D98+D100</f>
        <v>872.7049999999999</v>
      </c>
      <c r="E95" s="123">
        <f>E96+E98+E100</f>
        <v>12000</v>
      </c>
      <c r="F95" s="123">
        <f>F96+F98+F100</f>
        <v>40.3</v>
      </c>
      <c r="G95" s="140">
        <f>G96+G98+G100</f>
        <v>484</v>
      </c>
      <c r="H95" s="19">
        <f t="shared" si="4"/>
        <v>0.5545974871233693</v>
      </c>
      <c r="I95" s="20">
        <f t="shared" si="5"/>
        <v>0.04033333333333333</v>
      </c>
      <c r="J95" s="12"/>
    </row>
    <row r="96" spans="1:10" ht="15.75">
      <c r="A96" s="76"/>
      <c r="B96" s="75" t="s">
        <v>92</v>
      </c>
      <c r="C96" s="38" t="s">
        <v>71</v>
      </c>
      <c r="D96" s="62">
        <v>701.795</v>
      </c>
      <c r="E96" s="48">
        <v>10600</v>
      </c>
      <c r="F96" s="141">
        <f>G96-416</f>
        <v>37</v>
      </c>
      <c r="G96" s="141">
        <v>453</v>
      </c>
      <c r="H96" s="19">
        <f t="shared" si="4"/>
        <v>0.645487642402696</v>
      </c>
      <c r="I96" s="20">
        <f t="shared" si="5"/>
        <v>0.04273584905660378</v>
      </c>
      <c r="J96" s="12"/>
    </row>
    <row r="97" spans="1:10" ht="15.75">
      <c r="A97" s="76"/>
      <c r="B97" s="75" t="s">
        <v>93</v>
      </c>
      <c r="C97" s="38" t="s">
        <v>71</v>
      </c>
      <c r="D97" s="62">
        <v>34.82</v>
      </c>
      <c r="E97" s="48">
        <v>150</v>
      </c>
      <c r="F97" s="49">
        <f>G97-12.9</f>
        <v>0.049999999999998934</v>
      </c>
      <c r="G97" s="49">
        <v>12.95</v>
      </c>
      <c r="H97" s="19">
        <f t="shared" si="4"/>
        <v>0.3719126938541068</v>
      </c>
      <c r="I97" s="20">
        <f t="shared" si="5"/>
        <v>0.08633333333333333</v>
      </c>
      <c r="J97" s="12"/>
    </row>
    <row r="98" spans="1:10" ht="15.75">
      <c r="A98" s="76"/>
      <c r="B98" s="75" t="s">
        <v>94</v>
      </c>
      <c r="C98" s="38" t="s">
        <v>71</v>
      </c>
      <c r="D98" s="62">
        <v>156.27</v>
      </c>
      <c r="E98" s="48">
        <v>1300</v>
      </c>
      <c r="F98" s="141">
        <f>G98-27.7</f>
        <v>3.3000000000000007</v>
      </c>
      <c r="G98" s="142">
        <v>31</v>
      </c>
      <c r="H98" s="19">
        <f t="shared" si="4"/>
        <v>0.19837460805016957</v>
      </c>
      <c r="I98" s="20">
        <f t="shared" si="5"/>
        <v>0.023846153846153847</v>
      </c>
      <c r="J98" s="86"/>
    </row>
    <row r="99" spans="1:10" ht="15.75">
      <c r="A99" s="76"/>
      <c r="B99" s="75" t="s">
        <v>95</v>
      </c>
      <c r="C99" s="38" t="s">
        <v>71</v>
      </c>
      <c r="D99" s="62">
        <f>+D98</f>
        <v>156.27</v>
      </c>
      <c r="E99" s="48">
        <f>+E98</f>
        <v>1300</v>
      </c>
      <c r="F99" s="141">
        <f>G99-27.7</f>
        <v>3.3000000000000007</v>
      </c>
      <c r="G99" s="142">
        <v>31</v>
      </c>
      <c r="H99" s="19">
        <f t="shared" si="4"/>
        <v>0.19837460805016957</v>
      </c>
      <c r="I99" s="20">
        <f t="shared" si="5"/>
        <v>0.023846153846153847</v>
      </c>
      <c r="J99" s="45"/>
    </row>
    <row r="100" spans="1:10" ht="15.75">
      <c r="A100" s="76"/>
      <c r="B100" s="75" t="s">
        <v>96</v>
      </c>
      <c r="C100" s="38" t="s">
        <v>71</v>
      </c>
      <c r="D100" s="62">
        <v>14.64</v>
      </c>
      <c r="E100" s="143">
        <v>100</v>
      </c>
      <c r="F100" s="141">
        <f>+G100</f>
        <v>0</v>
      </c>
      <c r="G100" s="75"/>
      <c r="H100" s="19"/>
      <c r="I100" s="20"/>
      <c r="J100" s="12"/>
    </row>
    <row r="101" spans="1:10" ht="15.75">
      <c r="A101" s="71" t="s">
        <v>34</v>
      </c>
      <c r="B101" s="80" t="s">
        <v>97</v>
      </c>
      <c r="C101" s="37" t="s">
        <v>14</v>
      </c>
      <c r="D101" s="139">
        <f>D102+D105+D109</f>
        <v>34819.64</v>
      </c>
      <c r="E101" s="123">
        <f>E102+E105+E109</f>
        <v>36000</v>
      </c>
      <c r="F101" s="123">
        <f>F102+F105+F109</f>
        <v>5108.77</v>
      </c>
      <c r="G101" s="123">
        <f>G102+G105+G109</f>
        <v>32106.32</v>
      </c>
      <c r="H101" s="19">
        <f>G101/D101</f>
        <v>0.9220750128375824</v>
      </c>
      <c r="I101" s="20">
        <f>G101/E101</f>
        <v>0.8918422222222222</v>
      </c>
      <c r="J101" s="12"/>
    </row>
    <row r="102" spans="1:10" ht="15.75">
      <c r="A102" s="76"/>
      <c r="B102" s="75" t="s">
        <v>92</v>
      </c>
      <c r="C102" s="38"/>
      <c r="D102" s="167"/>
      <c r="E102" s="48"/>
      <c r="F102" s="62"/>
      <c r="G102" s="124"/>
      <c r="H102" s="19"/>
      <c r="I102" s="20"/>
      <c r="J102" s="45"/>
    </row>
    <row r="103" spans="1:10" ht="15.75">
      <c r="A103" s="76"/>
      <c r="B103" s="75" t="s">
        <v>98</v>
      </c>
      <c r="C103" s="38" t="s">
        <v>71</v>
      </c>
      <c r="D103" s="167"/>
      <c r="E103" s="48"/>
      <c r="F103" s="62"/>
      <c r="G103" s="124"/>
      <c r="H103" s="19"/>
      <c r="I103" s="20"/>
      <c r="J103" s="12"/>
    </row>
    <row r="104" spans="1:10" ht="15.75">
      <c r="A104" s="76"/>
      <c r="B104" s="75" t="s">
        <v>99</v>
      </c>
      <c r="C104" s="38"/>
      <c r="D104" s="168"/>
      <c r="E104" s="48"/>
      <c r="F104" s="62"/>
      <c r="G104" s="75"/>
      <c r="H104" s="19"/>
      <c r="I104" s="20"/>
      <c r="J104" s="12"/>
    </row>
    <row r="105" spans="1:10" ht="15.75">
      <c r="A105" s="76"/>
      <c r="B105" s="75" t="s">
        <v>94</v>
      </c>
      <c r="C105" s="38" t="s">
        <v>71</v>
      </c>
      <c r="D105" s="161">
        <f>+D106+D107+D108</f>
        <v>34810.14</v>
      </c>
      <c r="E105" s="134">
        <f>E106+E107+E108</f>
        <v>33500</v>
      </c>
      <c r="F105" s="134">
        <f>F106+F107+F108+F109</f>
        <v>5108.77</v>
      </c>
      <c r="G105" s="134">
        <f>G106+G107+G108</f>
        <v>32006.32</v>
      </c>
      <c r="H105" s="19">
        <f>G105/D105</f>
        <v>0.9194539292286673</v>
      </c>
      <c r="I105" s="20">
        <f>G105/E105</f>
        <v>0.9554125373134328</v>
      </c>
      <c r="J105" s="117"/>
    </row>
    <row r="106" spans="1:10" ht="15.75">
      <c r="A106" s="76"/>
      <c r="B106" s="75" t="s">
        <v>100</v>
      </c>
      <c r="C106" s="38" t="s">
        <v>71</v>
      </c>
      <c r="D106" s="161">
        <v>21897.14</v>
      </c>
      <c r="E106" s="48">
        <v>18000</v>
      </c>
      <c r="F106" s="141">
        <f>G106-15428.8</f>
        <v>3141.2000000000007</v>
      </c>
      <c r="G106" s="141">
        <v>18570</v>
      </c>
      <c r="H106" s="19">
        <f>G106/D106</f>
        <v>0.8480559561659651</v>
      </c>
      <c r="I106" s="20">
        <f>G106/E106</f>
        <v>1.0316666666666667</v>
      </c>
      <c r="J106" s="12"/>
    </row>
    <row r="107" spans="1:10" ht="15.75">
      <c r="A107" s="76"/>
      <c r="B107" s="75" t="s">
        <v>101</v>
      </c>
      <c r="C107" s="38" t="s">
        <v>71</v>
      </c>
      <c r="D107" s="142">
        <v>32.3</v>
      </c>
      <c r="E107" s="48">
        <v>2000</v>
      </c>
      <c r="F107" s="141">
        <f>G107-593</f>
        <v>409</v>
      </c>
      <c r="G107" s="141">
        <v>1002</v>
      </c>
      <c r="H107" s="19"/>
      <c r="I107" s="20"/>
      <c r="J107" s="12"/>
    </row>
    <row r="108" spans="1:10" ht="15.75">
      <c r="A108" s="76"/>
      <c r="B108" s="75" t="s">
        <v>102</v>
      </c>
      <c r="C108" s="38" t="s">
        <v>71</v>
      </c>
      <c r="D108" s="161">
        <v>12880.7</v>
      </c>
      <c r="E108" s="48">
        <v>13500</v>
      </c>
      <c r="F108" s="141">
        <f>G108-10875.75</f>
        <v>1558.5699999999997</v>
      </c>
      <c r="G108" s="141">
        <v>12434.32</v>
      </c>
      <c r="H108" s="19">
        <f>G108/D108</f>
        <v>0.9653450511229978</v>
      </c>
      <c r="I108" s="20">
        <f>G108/E108</f>
        <v>0.9210607407407407</v>
      </c>
      <c r="J108" s="12"/>
    </row>
    <row r="109" spans="1:10" ht="26.25">
      <c r="A109" s="76"/>
      <c r="B109" s="87" t="s">
        <v>103</v>
      </c>
      <c r="C109" s="38" t="s">
        <v>71</v>
      </c>
      <c r="D109" s="169">
        <v>9.5</v>
      </c>
      <c r="E109" s="26">
        <v>2500</v>
      </c>
      <c r="F109" s="23">
        <f>G109-100</f>
        <v>0</v>
      </c>
      <c r="G109" s="144">
        <v>100</v>
      </c>
      <c r="H109" s="19"/>
      <c r="I109" s="20">
        <f>G109/E109</f>
        <v>0.04</v>
      </c>
      <c r="J109" s="12"/>
    </row>
    <row r="110" spans="1:10" ht="16.5">
      <c r="A110" s="76" t="s">
        <v>82</v>
      </c>
      <c r="B110" s="41" t="s">
        <v>104</v>
      </c>
      <c r="C110" s="37" t="s">
        <v>85</v>
      </c>
      <c r="D110" s="167"/>
      <c r="E110" s="62"/>
      <c r="F110" s="62"/>
      <c r="G110" s="75"/>
      <c r="H110" s="19"/>
      <c r="I110" s="20"/>
      <c r="J110" s="12"/>
    </row>
    <row r="111" spans="1:10" ht="15.75">
      <c r="A111" s="76"/>
      <c r="B111" s="88" t="s">
        <v>105</v>
      </c>
      <c r="C111" s="38" t="s">
        <v>71</v>
      </c>
      <c r="D111" s="167"/>
      <c r="E111" s="62"/>
      <c r="F111" s="62"/>
      <c r="G111" s="75"/>
      <c r="H111" s="19"/>
      <c r="I111" s="20"/>
      <c r="J111" s="12"/>
    </row>
    <row r="112" spans="1:10" ht="15.75">
      <c r="A112" s="76"/>
      <c r="B112" s="88" t="s">
        <v>106</v>
      </c>
      <c r="C112" s="38" t="s">
        <v>71</v>
      </c>
      <c r="D112" s="167"/>
      <c r="E112" s="62"/>
      <c r="F112" s="62"/>
      <c r="G112" s="75"/>
      <c r="H112" s="19"/>
      <c r="I112" s="20"/>
      <c r="J112" s="12"/>
    </row>
    <row r="113" spans="1:10" ht="15.75">
      <c r="A113" s="76"/>
      <c r="B113" s="88" t="s">
        <v>107</v>
      </c>
      <c r="C113" s="38" t="s">
        <v>71</v>
      </c>
      <c r="D113" s="167"/>
      <c r="E113" s="62"/>
      <c r="F113" s="62"/>
      <c r="G113" s="75"/>
      <c r="H113" s="19"/>
      <c r="I113" s="20"/>
      <c r="J113" s="12"/>
    </row>
    <row r="114" spans="1:10" ht="15.75">
      <c r="A114" s="76" t="s">
        <v>108</v>
      </c>
      <c r="B114" s="80" t="s">
        <v>109</v>
      </c>
      <c r="C114" s="89" t="s">
        <v>110</v>
      </c>
      <c r="D114" s="167"/>
      <c r="E114" s="62"/>
      <c r="F114" s="62"/>
      <c r="G114" s="75"/>
      <c r="H114" s="19"/>
      <c r="I114" s="20"/>
      <c r="J114" s="32"/>
    </row>
    <row r="115" spans="1:10" ht="15.75">
      <c r="A115" s="76"/>
      <c r="B115" s="90" t="s">
        <v>111</v>
      </c>
      <c r="C115" s="89" t="s">
        <v>71</v>
      </c>
      <c r="D115" s="167"/>
      <c r="E115" s="62"/>
      <c r="F115" s="62"/>
      <c r="G115" s="125"/>
      <c r="H115" s="19"/>
      <c r="I115" s="20"/>
      <c r="J115" s="32"/>
    </row>
    <row r="116" spans="1:10" ht="15.75">
      <c r="A116" s="76"/>
      <c r="B116" s="90" t="s">
        <v>112</v>
      </c>
      <c r="C116" s="89" t="s">
        <v>71</v>
      </c>
      <c r="D116" s="168"/>
      <c r="E116" s="62"/>
      <c r="F116" s="62"/>
      <c r="G116" s="125"/>
      <c r="H116" s="19"/>
      <c r="I116" s="20"/>
      <c r="J116" s="24"/>
    </row>
    <row r="117" spans="1:10" ht="15.75">
      <c r="A117" s="76"/>
      <c r="B117" s="90" t="s">
        <v>113</v>
      </c>
      <c r="C117" s="89" t="s">
        <v>71</v>
      </c>
      <c r="D117" s="142"/>
      <c r="E117" s="126"/>
      <c r="F117" s="126"/>
      <c r="G117" s="127"/>
      <c r="H117" s="91"/>
      <c r="I117" s="20"/>
      <c r="J117" s="32"/>
    </row>
    <row r="118" spans="1:10" ht="15.75">
      <c r="A118" s="92">
        <v>4</v>
      </c>
      <c r="B118" s="93" t="s">
        <v>114</v>
      </c>
      <c r="C118" s="89"/>
      <c r="D118" s="166">
        <f>+D119+D135</f>
        <v>46626.69</v>
      </c>
      <c r="E118" s="128">
        <f>+E119+E135</f>
        <v>148300</v>
      </c>
      <c r="F118" s="128">
        <f>+F119+F135</f>
        <v>11986.87</v>
      </c>
      <c r="G118" s="129">
        <f>+G119+G135</f>
        <v>49229.43</v>
      </c>
      <c r="H118" s="91">
        <f aca="true" t="shared" si="6" ref="H118:H125">+G118/D118</f>
        <v>1.0558208185054525</v>
      </c>
      <c r="I118" s="20">
        <f>G118/E118</f>
        <v>0.3319583951449764</v>
      </c>
      <c r="J118" s="32"/>
    </row>
    <row r="119" spans="1:10" ht="15.75">
      <c r="A119" s="76" t="s">
        <v>115</v>
      </c>
      <c r="B119" s="94" t="s">
        <v>116</v>
      </c>
      <c r="C119" s="37" t="s">
        <v>33</v>
      </c>
      <c r="D119" s="139">
        <f>D120+D126</f>
        <v>18826.98</v>
      </c>
      <c r="E119" s="123">
        <f>E120+E126</f>
        <v>85550</v>
      </c>
      <c r="F119" s="139">
        <f>F120+F126</f>
        <v>6330.8200000000015</v>
      </c>
      <c r="G119" s="139">
        <f>G120+G126</f>
        <v>21440.57</v>
      </c>
      <c r="H119" s="91">
        <f t="shared" si="6"/>
        <v>1.1388215210299262</v>
      </c>
      <c r="I119" s="20">
        <f>G119/E119</f>
        <v>0.25062033898305086</v>
      </c>
      <c r="J119" s="45"/>
    </row>
    <row r="120" spans="1:10" ht="15.75">
      <c r="A120" s="71" t="s">
        <v>117</v>
      </c>
      <c r="B120" s="80" t="s">
        <v>91</v>
      </c>
      <c r="C120" s="37" t="s">
        <v>33</v>
      </c>
      <c r="D120" s="139">
        <f>D121+D123+D125</f>
        <v>16338.849999999999</v>
      </c>
      <c r="E120" s="123">
        <f>E121+E123+E125</f>
        <v>55800</v>
      </c>
      <c r="F120" s="123">
        <f>F121+F123+F125</f>
        <v>3636.480000000001</v>
      </c>
      <c r="G120" s="123">
        <f>G121+G123+G125</f>
        <v>17276.88</v>
      </c>
      <c r="H120" s="91">
        <f t="shared" si="6"/>
        <v>1.0574110172992592</v>
      </c>
      <c r="I120" s="20">
        <f>G120/E120</f>
        <v>0.3096215053763441</v>
      </c>
      <c r="J120" s="45"/>
    </row>
    <row r="121" spans="1:10" ht="15.75">
      <c r="A121" s="76"/>
      <c r="B121" s="75" t="s">
        <v>118</v>
      </c>
      <c r="C121" s="38" t="s">
        <v>71</v>
      </c>
      <c r="D121" s="142">
        <v>16192.34</v>
      </c>
      <c r="E121" s="48">
        <v>54900</v>
      </c>
      <c r="F121" s="142">
        <f>G121-13415.3</f>
        <v>3632.880000000001</v>
      </c>
      <c r="G121" s="142">
        <v>17048.18</v>
      </c>
      <c r="H121" s="91">
        <f t="shared" si="6"/>
        <v>1.0528546213827032</v>
      </c>
      <c r="I121" s="20">
        <f>G121/E121</f>
        <v>0.31053151183970856</v>
      </c>
      <c r="J121" s="24"/>
    </row>
    <row r="122" spans="1:10" ht="15.75">
      <c r="A122" s="76"/>
      <c r="B122" s="75" t="s">
        <v>119</v>
      </c>
      <c r="C122" s="38" t="s">
        <v>71</v>
      </c>
      <c r="D122" s="161">
        <v>6813.9</v>
      </c>
      <c r="E122" s="48">
        <v>26300</v>
      </c>
      <c r="F122" s="141">
        <f>G122-5599.1</f>
        <v>1365</v>
      </c>
      <c r="G122" s="141">
        <v>6964.1</v>
      </c>
      <c r="H122" s="91">
        <f t="shared" si="6"/>
        <v>1.0220431764481428</v>
      </c>
      <c r="I122" s="95">
        <f>+G122/E122</f>
        <v>0.26479467680608365</v>
      </c>
      <c r="J122" s="12"/>
    </row>
    <row r="123" spans="1:12" ht="15.75">
      <c r="A123" s="76"/>
      <c r="B123" s="75" t="s">
        <v>120</v>
      </c>
      <c r="C123" s="38" t="s">
        <v>71</v>
      </c>
      <c r="D123" s="142">
        <v>122.71</v>
      </c>
      <c r="E123" s="48">
        <v>800</v>
      </c>
      <c r="F123" s="142">
        <f>G123-192.9</f>
        <v>2.5999999999999943</v>
      </c>
      <c r="G123" s="141">
        <v>195.5</v>
      </c>
      <c r="H123" s="91">
        <f t="shared" si="6"/>
        <v>1.5931871893081249</v>
      </c>
      <c r="I123" s="95">
        <f>+G123/E123</f>
        <v>0.244375</v>
      </c>
      <c r="J123" s="12"/>
      <c r="L123" s="7"/>
    </row>
    <row r="124" spans="1:10" ht="15.75">
      <c r="A124" s="76"/>
      <c r="B124" s="75" t="s">
        <v>121</v>
      </c>
      <c r="C124" s="38" t="s">
        <v>71</v>
      </c>
      <c r="D124" s="142">
        <f>+D123</f>
        <v>122.71</v>
      </c>
      <c r="E124" s="48">
        <f>+E123</f>
        <v>800</v>
      </c>
      <c r="F124" s="142">
        <f>G124-192.9</f>
        <v>2.5999999999999943</v>
      </c>
      <c r="G124" s="141">
        <v>195.5</v>
      </c>
      <c r="H124" s="91">
        <f t="shared" si="6"/>
        <v>1.5931871893081249</v>
      </c>
      <c r="I124" s="95">
        <f>+G124/E124</f>
        <v>0.244375</v>
      </c>
      <c r="J124" s="12"/>
    </row>
    <row r="125" spans="1:10" ht="15.75">
      <c r="A125" s="76"/>
      <c r="B125" s="75" t="s">
        <v>122</v>
      </c>
      <c r="C125" s="38" t="s">
        <v>71</v>
      </c>
      <c r="D125" s="142">
        <v>23.8</v>
      </c>
      <c r="E125" s="48">
        <v>100</v>
      </c>
      <c r="F125" s="142">
        <f>G125-32.2</f>
        <v>1</v>
      </c>
      <c r="G125" s="142">
        <v>33.2</v>
      </c>
      <c r="H125" s="91">
        <f t="shared" si="6"/>
        <v>1.3949579831932775</v>
      </c>
      <c r="I125" s="95"/>
      <c r="J125" s="12"/>
    </row>
    <row r="126" spans="1:10" ht="15.75">
      <c r="A126" s="71" t="s">
        <v>123</v>
      </c>
      <c r="B126" s="80" t="s">
        <v>97</v>
      </c>
      <c r="C126" s="37" t="s">
        <v>33</v>
      </c>
      <c r="D126" s="139">
        <f>D127+D130+D134</f>
        <v>2488.13</v>
      </c>
      <c r="E126" s="123">
        <f>E127+E130+E134</f>
        <v>29750</v>
      </c>
      <c r="F126" s="123">
        <f>F127+F130+F134</f>
        <v>2694.34</v>
      </c>
      <c r="G126" s="123">
        <f>G127+G130+G134</f>
        <v>4163.6900000000005</v>
      </c>
      <c r="H126" s="91">
        <f>+G126/D126</f>
        <v>1.6734214048301337</v>
      </c>
      <c r="I126" s="95">
        <f>+G126/E126</f>
        <v>0.13995596638655464</v>
      </c>
      <c r="J126" s="12"/>
    </row>
    <row r="127" spans="1:10" ht="15.75">
      <c r="A127" s="76"/>
      <c r="B127" s="75" t="s">
        <v>124</v>
      </c>
      <c r="C127" s="38" t="s">
        <v>71</v>
      </c>
      <c r="D127" s="142"/>
      <c r="E127" s="48"/>
      <c r="F127" s="62"/>
      <c r="G127" s="145"/>
      <c r="H127" s="91"/>
      <c r="I127" s="95"/>
      <c r="J127" s="12"/>
    </row>
    <row r="128" spans="1:10" ht="15.75">
      <c r="A128" s="76"/>
      <c r="B128" s="75" t="s">
        <v>125</v>
      </c>
      <c r="C128" s="38" t="s">
        <v>71</v>
      </c>
      <c r="D128" s="142"/>
      <c r="E128" s="48"/>
      <c r="F128" s="62"/>
      <c r="G128" s="75"/>
      <c r="H128" s="91"/>
      <c r="I128" s="95"/>
      <c r="J128" s="12"/>
    </row>
    <row r="129" spans="1:10" ht="15.75">
      <c r="A129" s="76"/>
      <c r="B129" s="75" t="s">
        <v>126</v>
      </c>
      <c r="C129" s="38"/>
      <c r="D129" s="142"/>
      <c r="E129" s="48"/>
      <c r="F129" s="62"/>
      <c r="G129" s="75"/>
      <c r="H129" s="91"/>
      <c r="I129" s="95"/>
      <c r="J129" s="12"/>
    </row>
    <row r="130" spans="1:10" ht="15.75">
      <c r="A130" s="76"/>
      <c r="B130" s="75" t="s">
        <v>127</v>
      </c>
      <c r="C130" s="38" t="s">
        <v>71</v>
      </c>
      <c r="D130" s="134">
        <f>D131+D132+D133</f>
        <v>2469.13</v>
      </c>
      <c r="E130" s="48">
        <f>E131+E132+E133</f>
        <v>28250</v>
      </c>
      <c r="F130" s="48">
        <f>F131+F132+F133+F134</f>
        <v>2635.34</v>
      </c>
      <c r="G130" s="48">
        <f>G131+G132+G133</f>
        <v>4077.69</v>
      </c>
      <c r="H130" s="91">
        <f>+G130/D130</f>
        <v>1.6514683309505778</v>
      </c>
      <c r="I130" s="95">
        <f>+G130/E130</f>
        <v>0.14434300884955753</v>
      </c>
      <c r="J130" s="12"/>
    </row>
    <row r="131" spans="1:10" ht="15.75">
      <c r="A131" s="76"/>
      <c r="B131" s="75" t="s">
        <v>128</v>
      </c>
      <c r="C131" s="38" t="s">
        <v>71</v>
      </c>
      <c r="D131" s="142">
        <v>163.65</v>
      </c>
      <c r="E131" s="48">
        <v>14800</v>
      </c>
      <c r="F131" s="48">
        <f>G131-245.92</f>
        <v>815.2200000000001</v>
      </c>
      <c r="G131" s="48">
        <v>1061.14</v>
      </c>
      <c r="H131" s="91">
        <f>+G131/D131</f>
        <v>6.484204094103269</v>
      </c>
      <c r="I131" s="95">
        <f>+G131/E131</f>
        <v>0.07169864864864865</v>
      </c>
      <c r="J131" s="12"/>
    </row>
    <row r="132" spans="1:10" ht="15.75">
      <c r="A132" s="76"/>
      <c r="B132" s="75" t="s">
        <v>129</v>
      </c>
      <c r="C132" s="38" t="s">
        <v>71</v>
      </c>
      <c r="D132" s="142">
        <v>8</v>
      </c>
      <c r="E132" s="48">
        <v>5200</v>
      </c>
      <c r="F132" s="48">
        <f>G132-364.93</f>
        <v>476.61999999999995</v>
      </c>
      <c r="G132" s="48">
        <v>841.55</v>
      </c>
      <c r="H132" s="91"/>
      <c r="I132" s="95"/>
      <c r="J132" s="12"/>
    </row>
    <row r="133" spans="1:10" ht="15.75">
      <c r="A133" s="76"/>
      <c r="B133" s="75" t="s">
        <v>130</v>
      </c>
      <c r="C133" s="38" t="s">
        <v>71</v>
      </c>
      <c r="D133" s="142">
        <v>2297.48</v>
      </c>
      <c r="E133" s="48">
        <v>8250</v>
      </c>
      <c r="F133" s="48">
        <f>G133-890.5</f>
        <v>1284.5</v>
      </c>
      <c r="G133" s="48">
        <v>2175</v>
      </c>
      <c r="H133" s="91">
        <f>+G133/D133</f>
        <v>0.9466894162299563</v>
      </c>
      <c r="I133" s="95">
        <f>+G133/E133</f>
        <v>0.2636363636363636</v>
      </c>
      <c r="J133" s="12"/>
    </row>
    <row r="134" spans="1:10" ht="26.25">
      <c r="A134" s="76"/>
      <c r="B134" s="96" t="s">
        <v>131</v>
      </c>
      <c r="C134" s="38" t="s">
        <v>71</v>
      </c>
      <c r="D134" s="169">
        <v>19</v>
      </c>
      <c r="E134" s="26">
        <v>1500</v>
      </c>
      <c r="F134" s="146">
        <f>G134-27</f>
        <v>59</v>
      </c>
      <c r="G134" s="147">
        <v>86</v>
      </c>
      <c r="H134" s="19">
        <f>+G134/D134</f>
        <v>4.526315789473684</v>
      </c>
      <c r="I134" s="20">
        <f>+G134/E134</f>
        <v>0.05733333333333333</v>
      </c>
      <c r="J134" s="97"/>
    </row>
    <row r="135" spans="1:10" ht="15.75">
      <c r="A135" s="76" t="s">
        <v>132</v>
      </c>
      <c r="B135" s="98" t="s">
        <v>133</v>
      </c>
      <c r="C135" s="37" t="s">
        <v>33</v>
      </c>
      <c r="D135" s="139">
        <f>D136+D147</f>
        <v>27799.71</v>
      </c>
      <c r="E135" s="123">
        <f>E136+E147</f>
        <v>62750</v>
      </c>
      <c r="F135" s="139">
        <f>F136+F147</f>
        <v>5656.049999999999</v>
      </c>
      <c r="G135" s="139">
        <f>G136+G147</f>
        <v>27788.86</v>
      </c>
      <c r="H135" s="19">
        <f>+G135/D135</f>
        <v>0.9996097081588262</v>
      </c>
      <c r="I135" s="20">
        <f aca="true" t="shared" si="7" ref="I135:I152">+G135/E135</f>
        <v>0.44285035856573707</v>
      </c>
      <c r="J135" s="45"/>
    </row>
    <row r="136" spans="1:10" ht="15.75">
      <c r="A136" s="71" t="s">
        <v>134</v>
      </c>
      <c r="B136" s="98" t="s">
        <v>135</v>
      </c>
      <c r="C136" s="37" t="s">
        <v>33</v>
      </c>
      <c r="D136" s="139">
        <f>D137+D140+D143+D146</f>
        <v>23583.62</v>
      </c>
      <c r="E136" s="123">
        <f>E137+E140+E143+E146</f>
        <v>50550</v>
      </c>
      <c r="F136" s="139">
        <f>F137+F140+F143+F146</f>
        <v>4929.75</v>
      </c>
      <c r="G136" s="123">
        <f>G137+G140+G143+G146</f>
        <v>23775.41</v>
      </c>
      <c r="H136" s="19">
        <f>+G136/D136</f>
        <v>1.0081323393100805</v>
      </c>
      <c r="I136" s="20">
        <f t="shared" si="7"/>
        <v>0.4703345202769535</v>
      </c>
      <c r="J136" s="99"/>
    </row>
    <row r="137" spans="1:10" ht="15.75">
      <c r="A137" s="76"/>
      <c r="B137" s="100" t="s">
        <v>136</v>
      </c>
      <c r="C137" s="37" t="s">
        <v>33</v>
      </c>
      <c r="D137" s="170">
        <v>10948.6</v>
      </c>
      <c r="E137" s="48">
        <v>20500</v>
      </c>
      <c r="F137" s="141">
        <f>G137-9389.2</f>
        <v>2383.8999999999996</v>
      </c>
      <c r="G137" s="141">
        <v>11773.1</v>
      </c>
      <c r="H137" s="19">
        <f>+G137/D137</f>
        <v>1.0753064318725682</v>
      </c>
      <c r="I137" s="20">
        <f t="shared" si="7"/>
        <v>0.5742975609756098</v>
      </c>
      <c r="J137" s="12"/>
    </row>
    <row r="138" spans="1:10" ht="15.75">
      <c r="A138" s="76"/>
      <c r="B138" s="100" t="s">
        <v>137</v>
      </c>
      <c r="C138" s="38" t="s">
        <v>71</v>
      </c>
      <c r="D138" s="142"/>
      <c r="E138" s="134"/>
      <c r="F138" s="62"/>
      <c r="G138" s="62"/>
      <c r="H138" s="19"/>
      <c r="I138" s="20"/>
      <c r="J138" s="12"/>
    </row>
    <row r="139" spans="1:12" ht="15.75">
      <c r="A139" s="76"/>
      <c r="B139" s="100" t="s">
        <v>138</v>
      </c>
      <c r="C139" s="38" t="s">
        <v>71</v>
      </c>
      <c r="D139" s="142"/>
      <c r="E139" s="48"/>
      <c r="F139" s="62"/>
      <c r="G139" s="62"/>
      <c r="H139" s="19"/>
      <c r="I139" s="20"/>
      <c r="J139" s="12"/>
      <c r="K139" s="9"/>
      <c r="L139" s="9"/>
    </row>
    <row r="140" spans="1:10" ht="15.75">
      <c r="A140" s="76"/>
      <c r="B140" s="100" t="s">
        <v>139</v>
      </c>
      <c r="C140" s="37" t="s">
        <v>33</v>
      </c>
      <c r="D140" s="161">
        <v>5881.38</v>
      </c>
      <c r="E140" s="48">
        <v>4500</v>
      </c>
      <c r="F140" s="142">
        <f>F141</f>
        <v>878.4999999999995</v>
      </c>
      <c r="G140" s="141">
        <f>G141</f>
        <v>4347.48</v>
      </c>
      <c r="H140" s="19">
        <f>+G140/D140</f>
        <v>0.7391938626648847</v>
      </c>
      <c r="I140" s="20">
        <f t="shared" si="7"/>
        <v>0.9661066666666666</v>
      </c>
      <c r="J140" s="12"/>
    </row>
    <row r="141" spans="1:10" ht="15.75">
      <c r="A141" s="76"/>
      <c r="B141" s="100" t="s">
        <v>140</v>
      </c>
      <c r="C141" s="38" t="s">
        <v>71</v>
      </c>
      <c r="D141" s="161">
        <v>4367</v>
      </c>
      <c r="E141" s="48">
        <f>+E140</f>
        <v>4500</v>
      </c>
      <c r="F141" s="142">
        <f>G141-3468.98</f>
        <v>878.4999999999995</v>
      </c>
      <c r="G141" s="141">
        <v>4347.48</v>
      </c>
      <c r="H141" s="19"/>
      <c r="I141" s="20">
        <f t="shared" si="7"/>
        <v>0.9661066666666666</v>
      </c>
      <c r="J141" s="12"/>
    </row>
    <row r="142" spans="1:10" ht="15.75">
      <c r="A142" s="76"/>
      <c r="B142" s="100" t="s">
        <v>138</v>
      </c>
      <c r="C142" s="38" t="s">
        <v>71</v>
      </c>
      <c r="D142" s="142"/>
      <c r="E142" s="48"/>
      <c r="F142" s="62"/>
      <c r="G142" s="62"/>
      <c r="H142" s="19"/>
      <c r="I142" s="20"/>
      <c r="J142" s="12"/>
    </row>
    <row r="143" spans="1:10" ht="15.75">
      <c r="A143" s="76"/>
      <c r="B143" s="100" t="s">
        <v>141</v>
      </c>
      <c r="C143" s="37" t="s">
        <v>33</v>
      </c>
      <c r="D143" s="142"/>
      <c r="E143" s="48"/>
      <c r="F143" s="62"/>
      <c r="G143" s="62"/>
      <c r="H143" s="19"/>
      <c r="I143" s="20"/>
      <c r="J143" s="12"/>
    </row>
    <row r="144" spans="1:10" ht="15.75">
      <c r="A144" s="76"/>
      <c r="B144" s="100" t="s">
        <v>137</v>
      </c>
      <c r="C144" s="38" t="s">
        <v>71</v>
      </c>
      <c r="D144" s="142"/>
      <c r="E144" s="48"/>
      <c r="F144" s="62"/>
      <c r="G144" s="62"/>
      <c r="H144" s="19"/>
      <c r="I144" s="20"/>
      <c r="J144" s="12"/>
    </row>
    <row r="145" spans="1:10" ht="15.75">
      <c r="A145" s="101"/>
      <c r="B145" s="102" t="s">
        <v>138</v>
      </c>
      <c r="C145" s="103" t="s">
        <v>71</v>
      </c>
      <c r="D145" s="142"/>
      <c r="E145" s="48"/>
      <c r="F145" s="62"/>
      <c r="G145" s="62"/>
      <c r="H145" s="19"/>
      <c r="I145" s="20"/>
      <c r="J145" s="12"/>
    </row>
    <row r="146" spans="1:10" ht="15.75">
      <c r="A146" s="76"/>
      <c r="B146" s="100" t="s">
        <v>142</v>
      </c>
      <c r="C146" s="38" t="s">
        <v>71</v>
      </c>
      <c r="D146" s="161">
        <v>6753.64</v>
      </c>
      <c r="E146" s="48">
        <v>25550</v>
      </c>
      <c r="F146" s="142">
        <f>G146-5987.48</f>
        <v>1667.3500000000004</v>
      </c>
      <c r="G146" s="141">
        <v>7654.83</v>
      </c>
      <c r="H146" s="19">
        <f>+G146/D146</f>
        <v>1.1334376721293997</v>
      </c>
      <c r="I146" s="20">
        <f t="shared" si="7"/>
        <v>0.2996019569471624</v>
      </c>
      <c r="J146" s="12"/>
    </row>
    <row r="147" spans="1:10" ht="15.75">
      <c r="A147" s="71" t="s">
        <v>143</v>
      </c>
      <c r="B147" s="98" t="s">
        <v>144</v>
      </c>
      <c r="C147" s="37" t="s">
        <v>33</v>
      </c>
      <c r="D147" s="139">
        <f>D148+D149+D150+D151+D152</f>
        <v>4216.09</v>
      </c>
      <c r="E147" s="123">
        <f>E148+E149+E150+E151+E152</f>
        <v>12200</v>
      </c>
      <c r="F147" s="139">
        <f>F148+F149+F150+F151+F152</f>
        <v>726.2999999999997</v>
      </c>
      <c r="G147" s="139">
        <f>G148+G149+G150+G151+G152</f>
        <v>4013.45</v>
      </c>
      <c r="H147" s="19">
        <f>+G147/D147</f>
        <v>0.9519365098942384</v>
      </c>
      <c r="I147" s="20">
        <f t="shared" si="7"/>
        <v>0.3289713114754098</v>
      </c>
      <c r="J147" s="12"/>
    </row>
    <row r="148" spans="1:10" ht="15.75">
      <c r="A148" s="76"/>
      <c r="B148" s="77" t="s">
        <v>145</v>
      </c>
      <c r="C148" s="38" t="s">
        <v>71</v>
      </c>
      <c r="D148" s="134">
        <v>2443.6</v>
      </c>
      <c r="E148" s="48">
        <v>5500</v>
      </c>
      <c r="F148" s="141">
        <f>G148-1336.4</f>
        <v>330.89999999999986</v>
      </c>
      <c r="G148" s="141">
        <v>1667.3</v>
      </c>
      <c r="H148" s="19">
        <f>+G148/D148</f>
        <v>0.6823129808479292</v>
      </c>
      <c r="I148" s="20">
        <f t="shared" si="7"/>
        <v>0.30314545454545455</v>
      </c>
      <c r="J148" s="12"/>
    </row>
    <row r="149" spans="1:10" ht="15.75">
      <c r="A149" s="76"/>
      <c r="B149" s="75" t="s">
        <v>146</v>
      </c>
      <c r="C149" s="38" t="s">
        <v>71</v>
      </c>
      <c r="D149" s="62">
        <v>749.6</v>
      </c>
      <c r="E149" s="48">
        <v>4500</v>
      </c>
      <c r="F149" s="142">
        <f>G149-1327.65</f>
        <v>287.15999999999985</v>
      </c>
      <c r="G149" s="141">
        <v>1614.81</v>
      </c>
      <c r="H149" s="19">
        <f>+G149/D149</f>
        <v>2.1542289220917823</v>
      </c>
      <c r="I149" s="20">
        <f t="shared" si="7"/>
        <v>0.35884666666666665</v>
      </c>
      <c r="J149" s="12"/>
    </row>
    <row r="150" spans="1:10" ht="15.75">
      <c r="A150" s="76"/>
      <c r="B150" s="78" t="s">
        <v>147</v>
      </c>
      <c r="C150" s="38" t="s">
        <v>71</v>
      </c>
      <c r="D150" s="62"/>
      <c r="E150" s="48"/>
      <c r="F150" s="141"/>
      <c r="G150" s="141"/>
      <c r="H150" s="19"/>
      <c r="I150" s="20"/>
      <c r="J150" s="12"/>
    </row>
    <row r="151" spans="1:10" ht="26.25">
      <c r="A151" s="76"/>
      <c r="B151" s="87" t="s">
        <v>148</v>
      </c>
      <c r="C151" s="38" t="s">
        <v>71</v>
      </c>
      <c r="D151" s="62"/>
      <c r="E151" s="48"/>
      <c r="F151" s="141"/>
      <c r="G151" s="141"/>
      <c r="H151" s="19"/>
      <c r="I151" s="20"/>
      <c r="J151" s="12"/>
    </row>
    <row r="152" spans="1:10" ht="15.75">
      <c r="A152" s="104"/>
      <c r="B152" s="105" t="s">
        <v>149</v>
      </c>
      <c r="C152" s="106" t="s">
        <v>71</v>
      </c>
      <c r="D152" s="171">
        <v>1022.89</v>
      </c>
      <c r="E152" s="149">
        <v>2200</v>
      </c>
      <c r="F152" s="150">
        <f>G152-623.1</f>
        <v>108.24000000000001</v>
      </c>
      <c r="G152" s="151">
        <v>731.34</v>
      </c>
      <c r="H152" s="107">
        <f>+G152/D152</f>
        <v>0.7149742396543128</v>
      </c>
      <c r="I152" s="108">
        <f t="shared" si="7"/>
        <v>0.33242727272727274</v>
      </c>
      <c r="J152" s="12"/>
    </row>
    <row r="153" spans="1:9" ht="15.75">
      <c r="A153" s="5"/>
      <c r="B153" s="109"/>
      <c r="C153" s="110"/>
      <c r="D153" s="111"/>
      <c r="E153" s="111"/>
      <c r="F153" s="130"/>
      <c r="G153" s="111"/>
      <c r="H153" s="111"/>
      <c r="I153" s="111"/>
    </row>
    <row r="154" spans="1:9" ht="18.75">
      <c r="A154" s="5"/>
      <c r="B154" s="2"/>
      <c r="C154" s="112"/>
      <c r="D154" s="113"/>
      <c r="F154" s="152"/>
      <c r="G154" s="172"/>
      <c r="H154" s="172"/>
      <c r="I154" s="172"/>
    </row>
    <row r="155" ht="15.75">
      <c r="F155" s="12"/>
    </row>
    <row r="156" ht="15.75">
      <c r="F156" s="12"/>
    </row>
    <row r="157" ht="15.75">
      <c r="F157" s="12"/>
    </row>
    <row r="158" ht="15.75">
      <c r="F158" s="12"/>
    </row>
    <row r="159" ht="15.75">
      <c r="F159" s="12"/>
    </row>
    <row r="160" ht="15.75">
      <c r="F160" s="12"/>
    </row>
    <row r="161" ht="15.75">
      <c r="F161" s="12"/>
    </row>
    <row r="162" ht="15.75">
      <c r="F162" s="12"/>
    </row>
    <row r="163" ht="15.75">
      <c r="F163" s="12"/>
    </row>
    <row r="164" ht="15.75">
      <c r="F164" s="12"/>
    </row>
    <row r="165" ht="15.75">
      <c r="F165" s="12"/>
    </row>
  </sheetData>
  <mergeCells count="11">
    <mergeCell ref="H6:I6"/>
    <mergeCell ref="G154:I154"/>
    <mergeCell ref="G6:G7"/>
    <mergeCell ref="F6:F7"/>
    <mergeCell ref="A3:I3"/>
    <mergeCell ref="A4:I4"/>
    <mergeCell ref="B6:B7"/>
    <mergeCell ref="D6:D7"/>
    <mergeCell ref="C6:C7"/>
    <mergeCell ref="A6:A7"/>
    <mergeCell ref="E6:E7"/>
  </mergeCells>
  <printOptions/>
  <pageMargins left="0.37" right="0.28" top="0.4" bottom="0.34" header="0.5" footer="0.5"/>
  <pageSetup horizontalDpi="600" verticalDpi="600" orientation="portrait" paperSize="9" r:id="rId1"/>
  <ignoredErrors>
    <ignoredError sqref="F13 E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F24:F24"/>
  <sheetViews>
    <sheetView workbookViewId="0" topLeftCell="A1">
      <selection activeCell="A1" sqref="A1:K27"/>
    </sheetView>
  </sheetViews>
  <sheetFormatPr defaultColWidth="9.140625" defaultRowHeight="12.75"/>
  <cols>
    <col min="6" max="6" width="12.8515625" style="0" bestFit="1" customWidth="1"/>
  </cols>
  <sheetData>
    <row r="24" ht="12.75">
      <c r="F24" s="15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f>(167+90)/2</f>
        <v>128.5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Thanh An</cp:lastModifiedBy>
  <cp:lastPrinted>2013-04-26T01:29:08Z</cp:lastPrinted>
  <dcterms:created xsi:type="dcterms:W3CDTF">2013-03-11T00:44:18Z</dcterms:created>
  <dcterms:modified xsi:type="dcterms:W3CDTF">2013-06-03T06:05:36Z</dcterms:modified>
  <cp:category/>
  <cp:version/>
  <cp:contentType/>
  <cp:contentStatus/>
</cp:coreProperties>
</file>