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'!$A$1:$I$155</definedName>
    <definedName name="_xlnm.Print_Titles" localSheetId="0">'Sheet1 '!$7:$8</definedName>
  </definedNames>
  <calcPr fullCalcOnLoad="1"/>
</workbook>
</file>

<file path=xl/sharedStrings.xml><?xml version="1.0" encoding="utf-8"?>
<sst xmlns="http://schemas.openxmlformats.org/spreadsheetml/2006/main" count="311" uniqueCount="161">
  <si>
    <t>Sở Nông nghiệp và PTNT tỉnh Trà Vinh</t>
  </si>
  <si>
    <t>BÁO CÁO SẢN XUẤT NÔNG, LÂM, DIÊM NGHIỆP, THUỶ SẢN</t>
  </si>
  <si>
    <t xml:space="preserve"> THÁNG 11 NĂM 2013</t>
  </si>
  <si>
    <t>Mã số</t>
  </si>
  <si>
    <t>Chỉ tiêu</t>
  </si>
  <si>
    <t>ĐVT</t>
  </si>
  <si>
    <t>TH cùng kỳ năm trước</t>
  </si>
  <si>
    <t xml:space="preserve">KH 
vụ/năm
</t>
  </si>
  <si>
    <t>TH 
tháng 11</t>
  </si>
  <si>
    <t>Ước TH 11 tháng</t>
  </si>
  <si>
    <t>% so sánh với</t>
  </si>
  <si>
    <t>Cùng kỳ</t>
  </si>
  <si>
    <t>Kế hoạch</t>
  </si>
  <si>
    <t>A</t>
  </si>
  <si>
    <t>B</t>
  </si>
  <si>
    <t>C</t>
  </si>
  <si>
    <t>4=3/1</t>
  </si>
  <si>
    <t>SẢN XUẤT NÔNG NGHIỆP</t>
  </si>
  <si>
    <t>I.</t>
  </si>
  <si>
    <t>TRỒNG TRỌT</t>
  </si>
  <si>
    <t>Cây hàng năm</t>
  </si>
  <si>
    <t>Tổng DT gieo trồng</t>
  </si>
  <si>
    <t>Ha</t>
  </si>
  <si>
    <t>1.1</t>
  </si>
  <si>
    <t>Cây lúa</t>
  </si>
  <si>
    <t xml:space="preserve">  Vụ Thu Đông-mùa 2013-2014</t>
  </si>
  <si>
    <t xml:space="preserve"> - DT gieo sạ</t>
  </si>
  <si>
    <t xml:space="preserve">      Trong đó lúa mùa</t>
  </si>
  <si>
    <t xml:space="preserve"> - DT thu hoạch</t>
  </si>
  <si>
    <t xml:space="preserve"> - Năng suất </t>
  </si>
  <si>
    <t>Tạ/ha</t>
  </si>
  <si>
    <t xml:space="preserve"> - Sản lượng</t>
  </si>
  <si>
    <t>tấn</t>
  </si>
  <si>
    <t>Vụ Đông Xuân 2013-2014</t>
  </si>
  <si>
    <t xml:space="preserve"> - Diện tích</t>
  </si>
  <si>
    <t>Cây màu</t>
  </si>
  <si>
    <t>Diện tích gieo trồng</t>
  </si>
  <si>
    <t>Diện tích thu hoạch</t>
  </si>
  <si>
    <t>Cây bắp</t>
  </si>
  <si>
    <t xml:space="preserve"> - Diện tích gieo trồng</t>
  </si>
  <si>
    <t xml:space="preserve"> - Diện tích thu hoạch</t>
  </si>
  <si>
    <t>''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</si>
  <si>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</si>
  <si>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</si>
  <si>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</si>
  <si>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</si>
  <si>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</si>
  <si>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</si>
  <si>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</si>
  <si>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</si>
  <si>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</si>
  <si>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</si>
  <si>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</si>
  <si>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</si>
  <si>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</si>
  <si>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</si>
  <si>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</si>
  <si>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</si>
  <si>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</si>
  <si>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</si>
  <si>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</si>
  <si>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</si>
  <si>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</si>
  <si>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</si>
  <si>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</si>
  <si>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</si>
  <si>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</si>
  <si>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</si>
  <si>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"</t>
  </si>
  <si>
    <t xml:space="preserve"> +Cây hàng năm khác</t>
  </si>
  <si>
    <t>ha</t>
  </si>
  <si>
    <t xml:space="preserve"> +Dây thuốc cá</t>
  </si>
  <si>
    <t>Cây lâu năm</t>
  </si>
  <si>
    <t>II</t>
  </si>
  <si>
    <t>CHĂN NUÔI</t>
  </si>
  <si>
    <t>LÂM NGHIỆP</t>
  </si>
  <si>
    <t>1.</t>
  </si>
  <si>
    <t>Lâm sinh</t>
  </si>
  <si>
    <t>1.1.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</si>
  <si>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</si>
  <si>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</si>
  <si>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</si>
  <si>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</si>
  <si>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</si>
  <si>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</si>
  <si>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</si>
  <si>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</si>
  <si>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</si>
  <si>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</si>
  <si>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</si>
  <si>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</si>
  <si>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</si>
  <si>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</si>
  <si>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</si>
  <si>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</si>
  <si>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</si>
  <si>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r>
      <t>m</t>
    </r>
    <r>
      <rPr>
        <vertAlign val="superscript"/>
        <sz val="10"/>
        <rFont val="Times New Roman"/>
        <family val="1"/>
      </rPr>
      <t>3</t>
    </r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</si>
  <si>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</si>
  <si>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</si>
  <si>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</si>
  <si>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</si>
  <si>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</si>
  <si>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</si>
  <si>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</si>
  <si>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</si>
  <si>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</si>
  <si>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</si>
  <si>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</si>
  <si>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</si>
  <si>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</si>
  <si>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</si>
  <si>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</si>
  <si>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</si>
  <si>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</si>
  <si>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</si>
  <si>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</si>
  <si>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</si>
  <si>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</si>
  <si>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</si>
  <si>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SX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</si>
  <si>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</si>
  <si>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</si>
  <si>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</si>
  <si>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</si>
  <si>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</si>
  <si>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</si>
  <si>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</si>
  <si>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</si>
  <si>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</si>
  <si>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t xml:space="preserve"> - Sản lượng giáp xác</t>
  </si>
  <si>
    <t xml:space="preserve"> - Sản lượng thủy sản khác</t>
  </si>
  <si>
    <t>4.1.2.</t>
  </si>
  <si>
    <t xml:space="preserve"> - Sản lượng cá nuôi</t>
  </si>
  <si>
    <t xml:space="preserve">     …</t>
  </si>
  <si>
    <t xml:space="preserve"> - Sản lượng giáp xác nuôi</t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</si>
  <si>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</si>
  <si>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</si>
  <si>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</si>
  <si>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</si>
  <si>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</si>
  <si>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</si>
  <si>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</si>
  <si>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</si>
  <si>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</si>
  <si>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</si>
  <si>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</si>
  <si>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</si>
  <si>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</si>
  <si>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</si>
  <si>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</si>
  <si>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</si>
  <si>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</si>
  <si>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</si>
  <si>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</si>
  <si>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</si>
  <si>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r>
      <t xml:space="preserve">    Trong đó: tôm càng xanh</t>
    </r>
  </si>
  <si>
    <r>
      <t xml:space="preserve">    Trong đó: Cá giò, cá song</t>
    </r>
  </si>
  <si>
    <r>
      <t xml:space="preserve">    Trong đó: + Tôm sú</t>
    </r>
  </si>
  <si>
    <r>
      <t xml:space="preserve"> </t>
    </r>
    <r>
      <rPr>
        <i/>
        <sz val="10"/>
        <rFont val="Times New Roman"/>
        <family val="1"/>
      </rPr>
      <t xml:space="preserve">  Trong đó</t>
    </r>
    <r>
      <rPr>
        <sz val="10"/>
        <rFont val="Times New Roman"/>
        <family val="1"/>
      </rPr>
      <t xml:space="preserve">: Gỗ rừng trồng </t>
    </r>
  </si>
  <si>
    <r>
      <t xml:space="preserve">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Trong đó:  cá tra, cá ba sa</t>
    </r>
  </si>
  <si>
    <r>
      <t>Trong đó:</t>
    </r>
    <r>
      <rPr>
        <sz val="10"/>
        <rFont val="Times New Roman"/>
        <family val="1"/>
      </rPr>
      <t>- Cá các loại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</si>
</sst>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\-??_);_(@_)"/>
    <numFmt numFmtId="166" formatCode="_(* #,##0_);_(* \(#,##0\);_(* \-??_);_(@_)"/>
    <numFmt numFmtId="167" formatCode="_(* #,##0.0_);_(* \(#,##0.0\);_(* \-??_);_(@_)"/>
    <numFmt numFmtId="168" formatCode="_(* #,##0_);_(* \(#,##0\);_(* &quot;-&quot;??_);_(@_)"/>
    <numFmt numFmtId="169" formatCode="_(* #,##0.0_);_(* \(#,##0.0\);_(* &quot;-&quot;??_);_(@_)"/>
  </numFmts>
  <fonts count="14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5" applyFont="1" applyFill="1" applyBorder="1" applyAlignment="1" applyProtection="1">
      <alignment horizontal="center" vertical="center"/>
      <protection/>
    </xf>
    <xf numFmtId="165" fontId="5" fillId="0" borderId="1" xfId="15" applyFont="1" applyFill="1" applyBorder="1" applyAlignment="1" applyProtection="1">
      <alignment/>
      <protection/>
    </xf>
    <xf numFmtId="165" fontId="5" fillId="0" borderId="1" xfId="15" applyFont="1" applyFill="1" applyBorder="1" applyAlignment="1" applyProtection="1">
      <alignment horizontal="center" vertical="center" wrapText="1"/>
      <protection/>
    </xf>
    <xf numFmtId="10" fontId="5" fillId="0" borderId="1" xfId="19" applyNumberFormat="1" applyFont="1" applyFill="1" applyBorder="1" applyAlignment="1" applyProtection="1">
      <alignment horizontal="right"/>
      <protection/>
    </xf>
    <xf numFmtId="165" fontId="5" fillId="0" borderId="1" xfId="15" applyFont="1" applyFill="1" applyBorder="1" applyAlignment="1" applyProtection="1">
      <alignment horizontal="center"/>
      <protection/>
    </xf>
    <xf numFmtId="166" fontId="5" fillId="0" borderId="1" xfId="15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5" fillId="0" borderId="1" xfId="0" applyFont="1" applyFill="1" applyBorder="1" applyAlignment="1">
      <alignment vertical="center"/>
    </xf>
    <xf numFmtId="166" fontId="5" fillId="0" borderId="1" xfId="15" applyNumberFormat="1" applyFont="1" applyFill="1" applyBorder="1" applyAlignment="1" applyProtection="1">
      <alignment horizontal="right" vertical="center"/>
      <protection/>
    </xf>
    <xf numFmtId="165" fontId="5" fillId="0" borderId="1" xfId="15" applyNumberFormat="1" applyFont="1" applyFill="1" applyBorder="1" applyAlignment="1" applyProtection="1">
      <alignment horizontal="right" vertical="center"/>
      <protection/>
    </xf>
    <xf numFmtId="166" fontId="5" fillId="0" borderId="1" xfId="15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165" fontId="5" fillId="0" borderId="1" xfId="15" applyNumberFormat="1" applyFont="1" applyFill="1" applyBorder="1" applyAlignment="1" applyProtection="1">
      <alignment/>
      <protection/>
    </xf>
    <xf numFmtId="165" fontId="5" fillId="0" borderId="1" xfId="15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>
      <alignment horizontal="left"/>
    </xf>
    <xf numFmtId="168" fontId="0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6" fontId="0" fillId="0" borderId="1" xfId="15" applyNumberFormat="1" applyFont="1" applyFill="1" applyBorder="1" applyAlignment="1" applyProtection="1">
      <alignment horizontal="right" vertical="center"/>
      <protection/>
    </xf>
    <xf numFmtId="10" fontId="0" fillId="0" borderId="1" xfId="19" applyNumberFormat="1" applyFont="1" applyFill="1" applyBorder="1" applyAlignment="1" applyProtection="1">
      <alignment horizontal="right"/>
      <protection/>
    </xf>
    <xf numFmtId="165" fontId="0" fillId="0" borderId="1" xfId="15" applyNumberFormat="1" applyFont="1" applyFill="1" applyBorder="1" applyAlignment="1" applyProtection="1">
      <alignment horizontal="right" vertical="center"/>
      <protection/>
    </xf>
    <xf numFmtId="166" fontId="0" fillId="0" borderId="1" xfId="15" applyNumberFormat="1" applyFont="1" applyFill="1" applyBorder="1" applyAlignment="1" applyProtection="1">
      <alignment horizontal="right"/>
      <protection/>
    </xf>
    <xf numFmtId="166" fontId="0" fillId="0" borderId="1" xfId="15" applyNumberFormat="1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7" fillId="0" borderId="1" xfId="15" applyNumberFormat="1" applyFont="1" applyFill="1" applyBorder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 wrapText="1"/>
      <protection/>
    </xf>
    <xf numFmtId="165" fontId="0" fillId="0" borderId="1" xfId="15" applyNumberFormat="1" applyFont="1" applyFill="1" applyBorder="1" applyAlignment="1" applyProtection="1">
      <alignment horizontal="right"/>
      <protection/>
    </xf>
    <xf numFmtId="165" fontId="0" fillId="0" borderId="1" xfId="15" applyNumberFormat="1" applyFont="1" applyFill="1" applyBorder="1" applyAlignment="1" applyProtection="1">
      <alignment vertical="center" wrapText="1"/>
      <protection/>
    </xf>
    <xf numFmtId="165" fontId="0" fillId="0" borderId="1" xfId="15" applyNumberFormat="1" applyFont="1" applyFill="1" applyBorder="1" applyAlignment="1" applyProtection="1">
      <alignment vertical="center"/>
      <protection/>
    </xf>
    <xf numFmtId="165" fontId="0" fillId="0" borderId="1" xfId="15" applyNumberFormat="1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 horizontal="center"/>
      <protection/>
    </xf>
    <xf numFmtId="165" fontId="0" fillId="0" borderId="1" xfId="15" applyFont="1" applyFill="1" applyBorder="1" applyAlignment="1" applyProtection="1">
      <alignment horizontal="left"/>
      <protection/>
    </xf>
    <xf numFmtId="165" fontId="0" fillId="0" borderId="1" xfId="15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/>
    </xf>
    <xf numFmtId="167" fontId="0" fillId="0" borderId="1" xfId="15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9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66" fontId="0" fillId="0" borderId="6" xfId="15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6" fontId="0" fillId="0" borderId="6" xfId="15" applyNumberFormat="1" applyFont="1" applyFill="1" applyBorder="1" applyAlignment="1" applyProtection="1">
      <alignment vertical="center" wrapText="1"/>
      <protection/>
    </xf>
    <xf numFmtId="166" fontId="0" fillId="0" borderId="6" xfId="15" applyNumberFormat="1" applyFont="1" applyFill="1" applyBorder="1" applyAlignment="1" applyProtection="1">
      <alignment vertical="center"/>
      <protection/>
    </xf>
    <xf numFmtId="1" fontId="5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/>
    </xf>
    <xf numFmtId="165" fontId="0" fillId="0" borderId="6" xfId="15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5" fontId="0" fillId="0" borderId="1" xfId="15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164" fontId="5" fillId="0" borderId="5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 horizontal="center"/>
    </xf>
    <xf numFmtId="168" fontId="5" fillId="0" borderId="5" xfId="15" applyNumberFormat="1" applyFont="1" applyFill="1" applyBorder="1" applyAlignment="1">
      <alignment/>
    </xf>
    <xf numFmtId="168" fontId="5" fillId="0" borderId="5" xfId="0" applyNumberFormat="1" applyFont="1" applyFill="1" applyBorder="1" applyAlignment="1">
      <alignment/>
    </xf>
    <xf numFmtId="168" fontId="12" fillId="0" borderId="5" xfId="0" applyNumberFormat="1" applyFont="1" applyFill="1" applyBorder="1" applyAlignment="1">
      <alignment/>
    </xf>
    <xf numFmtId="10" fontId="5" fillId="0" borderId="5" xfId="19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center"/>
    </xf>
    <xf numFmtId="165" fontId="5" fillId="0" borderId="5" xfId="15" applyFont="1" applyFill="1" applyBorder="1" applyAlignment="1">
      <alignment/>
    </xf>
    <xf numFmtId="168" fontId="12" fillId="0" borderId="5" xfId="15" applyNumberFormat="1" applyFont="1" applyFill="1" applyBorder="1" applyAlignment="1">
      <alignment/>
    </xf>
    <xf numFmtId="168" fontId="0" fillId="0" borderId="5" xfId="15" applyNumberFormat="1" applyFont="1" applyFill="1" applyBorder="1" applyAlignment="1">
      <alignment/>
    </xf>
    <xf numFmtId="169" fontId="0" fillId="0" borderId="5" xfId="15" applyNumberFormat="1" applyFont="1" applyFill="1" applyBorder="1" applyAlignment="1">
      <alignment/>
    </xf>
    <xf numFmtId="168" fontId="13" fillId="0" borderId="5" xfId="15" applyNumberFormat="1" applyFont="1" applyFill="1" applyBorder="1" applyAlignment="1">
      <alignment/>
    </xf>
    <xf numFmtId="10" fontId="0" fillId="0" borderId="5" xfId="19" applyNumberFormat="1" applyFont="1" applyFill="1" applyBorder="1" applyAlignment="1">
      <alignment horizontal="right"/>
    </xf>
    <xf numFmtId="168" fontId="0" fillId="0" borderId="5" xfId="0" applyNumberFormat="1" applyFont="1" applyFill="1" applyBorder="1" applyAlignment="1">
      <alignment/>
    </xf>
    <xf numFmtId="168" fontId="13" fillId="0" borderId="5" xfId="0" applyNumberFormat="1" applyFont="1" applyFill="1" applyBorder="1" applyAlignment="1">
      <alignment/>
    </xf>
    <xf numFmtId="43" fontId="5" fillId="0" borderId="5" xfId="15" applyNumberFormat="1" applyFont="1" applyFill="1" applyBorder="1" applyAlignment="1">
      <alignment/>
    </xf>
    <xf numFmtId="168" fontId="0" fillId="0" borderId="5" xfId="15" applyNumberFormat="1" applyFont="1" applyFill="1" applyBorder="1" applyAlignment="1">
      <alignment vertical="center"/>
    </xf>
    <xf numFmtId="168" fontId="13" fillId="0" borderId="5" xfId="15" applyNumberFormat="1" applyFont="1" applyFill="1" applyBorder="1" applyAlignment="1">
      <alignment vertical="center"/>
    </xf>
    <xf numFmtId="10" fontId="0" fillId="0" borderId="5" xfId="19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/>
    </xf>
    <xf numFmtId="4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0" fontId="0" fillId="0" borderId="5" xfId="0" applyFont="1" applyFill="1" applyBorder="1" applyAlignment="1" quotePrefix="1">
      <alignment/>
    </xf>
    <xf numFmtId="168" fontId="8" fillId="0" borderId="5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0" fontId="0" fillId="0" borderId="5" xfId="19" applyNumberFormat="1" applyFont="1" applyFill="1" applyBorder="1" applyAlignment="1">
      <alignment horizontal="right"/>
    </xf>
    <xf numFmtId="43" fontId="0" fillId="0" borderId="5" xfId="15" applyNumberFormat="1" applyFont="1" applyFill="1" applyBorder="1" applyAlignment="1">
      <alignment/>
    </xf>
    <xf numFmtId="169" fontId="0" fillId="0" borderId="5" xfId="0" applyNumberFormat="1" applyFont="1" applyFill="1" applyBorder="1" applyAlignment="1">
      <alignment vertical="center"/>
    </xf>
    <xf numFmtId="10" fontId="0" fillId="0" borderId="5" xfId="19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169" fontId="5" fillId="0" borderId="5" xfId="15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64" fontId="5" fillId="0" borderId="5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169" fontId="0" fillId="0" borderId="5" xfId="15" applyNumberFormat="1" applyFont="1" applyFill="1" applyBorder="1" applyAlignment="1">
      <alignment vertical="center"/>
    </xf>
    <xf numFmtId="168" fontId="0" fillId="0" borderId="5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 quotePrefix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169" fontId="0" fillId="0" borderId="7" xfId="15" applyNumberFormat="1" applyFont="1" applyFill="1" applyBorder="1" applyAlignment="1">
      <alignment/>
    </xf>
    <xf numFmtId="168" fontId="0" fillId="0" borderId="7" xfId="15" applyNumberFormat="1" applyFont="1" applyFill="1" applyBorder="1" applyAlignment="1">
      <alignment/>
    </xf>
    <xf numFmtId="43" fontId="0" fillId="0" borderId="7" xfId="0" applyNumberFormat="1" applyFont="1" applyFill="1" applyBorder="1" applyAlignment="1">
      <alignment/>
    </xf>
    <xf numFmtId="10" fontId="0" fillId="0" borderId="7" xfId="19" applyNumberFormat="1" applyFont="1" applyFill="1" applyBorder="1" applyAlignment="1">
      <alignment horizontal="right"/>
    </xf>
    <xf numFmtId="165" fontId="0" fillId="0" borderId="0" xfId="15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>
      <selection activeCell="K110" sqref="K110"/>
    </sheetView>
  </sheetViews>
  <sheetFormatPr defaultColWidth="9.33203125" defaultRowHeight="12.75"/>
  <cols>
    <col min="1" max="1" width="5.5" style="0" customWidth="1"/>
    <col min="2" max="2" width="29.83203125" style="0" customWidth="1"/>
    <col min="3" max="3" width="8.83203125" style="0" customWidth="1"/>
    <col min="4" max="4" width="10.5" style="0" customWidth="1"/>
    <col min="5" max="5" width="11.83203125" style="0" customWidth="1"/>
    <col min="6" max="6" width="10.83203125" style="0" customWidth="1"/>
    <col min="7" max="7" width="12" style="0" customWidth="1"/>
    <col min="8" max="8" width="10" style="0" customWidth="1"/>
    <col min="9" max="9" width="11" style="0" customWidth="1"/>
    <col min="10" max="10" width="12.33203125" style="0" customWidth="1"/>
    <col min="11" max="11" width="14" style="0" customWidth="1"/>
    <col min="12" max="12" width="13.66015625" style="0" customWidth="1"/>
    <col min="13" max="13" width="13.16015625" style="0" customWidth="1"/>
  </cols>
  <sheetData>
    <row r="1" spans="1:11" ht="15.75">
      <c r="A1" s="1" t="s">
        <v>0</v>
      </c>
      <c r="B1" s="2"/>
      <c r="C1" s="3"/>
      <c r="D1" s="4"/>
      <c r="E1" s="5"/>
      <c r="F1" s="5"/>
      <c r="G1" s="4"/>
      <c r="H1" s="4"/>
      <c r="I1" s="4"/>
      <c r="J1" s="4"/>
      <c r="K1" s="4"/>
    </row>
    <row r="2" spans="1:11" ht="15.75">
      <c r="A2" s="6"/>
      <c r="B2" s="2"/>
      <c r="C2" s="7"/>
      <c r="D2" s="4"/>
      <c r="E2" s="5"/>
      <c r="F2" s="5"/>
      <c r="G2" s="4"/>
      <c r="H2" s="4"/>
      <c r="I2" s="4"/>
      <c r="J2" s="4"/>
      <c r="K2" s="4"/>
    </row>
    <row r="3" spans="1:11" ht="16.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8"/>
      <c r="K3" s="8"/>
    </row>
    <row r="4" spans="1:11" ht="15.75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9"/>
      <c r="K4" s="9"/>
    </row>
    <row r="5" spans="1:11" ht="15.75">
      <c r="A5" s="131"/>
      <c r="B5" s="131"/>
      <c r="C5" s="131"/>
      <c r="D5" s="131"/>
      <c r="E5" s="131"/>
      <c r="F5" s="131"/>
      <c r="G5" s="131"/>
      <c r="H5" s="131"/>
      <c r="I5" s="131"/>
      <c r="J5" s="4"/>
      <c r="K5" s="4"/>
    </row>
    <row r="7" spans="1:10" ht="15" customHeight="1">
      <c r="A7" s="132" t="s">
        <v>3</v>
      </c>
      <c r="B7" s="133" t="s">
        <v>4</v>
      </c>
      <c r="C7" s="132" t="s">
        <v>5</v>
      </c>
      <c r="D7" s="132" t="s">
        <v>6</v>
      </c>
      <c r="E7" s="132" t="s">
        <v>7</v>
      </c>
      <c r="F7" s="132" t="s">
        <v>8</v>
      </c>
      <c r="G7" s="132" t="s">
        <v>9</v>
      </c>
      <c r="H7" s="132" t="s">
        <v>10</v>
      </c>
      <c r="I7" s="132"/>
      <c r="J7" s="5"/>
    </row>
    <row r="8" spans="1:10" ht="29.25" customHeight="1">
      <c r="A8" s="132"/>
      <c r="B8" s="133"/>
      <c r="C8" s="132"/>
      <c r="D8" s="132"/>
      <c r="E8" s="132"/>
      <c r="F8" s="132"/>
      <c r="G8" s="132"/>
      <c r="H8" s="28" t="s">
        <v>11</v>
      </c>
      <c r="I8" s="29" t="s">
        <v>12</v>
      </c>
      <c r="J8" s="5"/>
    </row>
    <row r="9" spans="1:10" ht="12.75" customHeight="1">
      <c r="A9" s="55" t="s">
        <v>13</v>
      </c>
      <c r="B9" s="134" t="s">
        <v>14</v>
      </c>
      <c r="C9" s="134"/>
      <c r="D9" s="29" t="s">
        <v>15</v>
      </c>
      <c r="E9" s="30">
        <v>1</v>
      </c>
      <c r="F9" s="30"/>
      <c r="G9" s="28"/>
      <c r="H9" s="28">
        <v>3</v>
      </c>
      <c r="I9" s="28" t="s">
        <v>16</v>
      </c>
      <c r="J9" s="5"/>
    </row>
    <row r="10" spans="1:10" ht="12.75">
      <c r="A10" s="10" t="s">
        <v>13</v>
      </c>
      <c r="B10" s="19" t="s">
        <v>17</v>
      </c>
      <c r="C10" s="11"/>
      <c r="D10" s="12"/>
      <c r="E10" s="13"/>
      <c r="F10" s="13"/>
      <c r="G10" s="12"/>
      <c r="H10" s="14"/>
      <c r="I10" s="14"/>
      <c r="J10" s="5"/>
    </row>
    <row r="11" spans="1:10" ht="12.75">
      <c r="A11" s="10" t="s">
        <v>18</v>
      </c>
      <c r="B11" s="19" t="s">
        <v>19</v>
      </c>
      <c r="C11" s="15"/>
      <c r="D11" s="16"/>
      <c r="E11" s="16"/>
      <c r="F11" s="16"/>
      <c r="G11" s="16"/>
      <c r="H11" s="14"/>
      <c r="I11" s="14"/>
      <c r="J11" s="5"/>
    </row>
    <row r="12" spans="1:10" ht="12.75">
      <c r="A12" s="17">
        <v>1</v>
      </c>
      <c r="B12" s="19" t="s">
        <v>20</v>
      </c>
      <c r="C12" s="15"/>
      <c r="D12" s="16"/>
      <c r="E12" s="16"/>
      <c r="F12" s="16"/>
      <c r="G12" s="16"/>
      <c r="H12" s="14"/>
      <c r="I12" s="14"/>
      <c r="J12" s="5"/>
    </row>
    <row r="13" spans="1:10" ht="12.75">
      <c r="A13" s="10"/>
      <c r="B13" s="19" t="s">
        <v>21</v>
      </c>
      <c r="C13" s="56" t="s">
        <v>22</v>
      </c>
      <c r="D13" s="16">
        <f>+D14+D26</f>
        <v>144665</v>
      </c>
      <c r="E13" s="16">
        <f>+E14+E26</f>
        <v>205080</v>
      </c>
      <c r="F13" s="16">
        <f>+F14+F26</f>
        <v>9650.130000000005</v>
      </c>
      <c r="G13" s="16">
        <f>+G14+G26</f>
        <v>147657.89</v>
      </c>
      <c r="H13" s="14">
        <f>G13/D13</f>
        <v>1.0206884180693327</v>
      </c>
      <c r="I13" s="14">
        <f>+G13/E13</f>
        <v>0.7200014140823094</v>
      </c>
      <c r="J13" s="18"/>
    </row>
    <row r="14" spans="1:10" ht="12.75">
      <c r="A14" s="10" t="s">
        <v>23</v>
      </c>
      <c r="B14" s="19" t="s">
        <v>24</v>
      </c>
      <c r="C14" s="56"/>
      <c r="D14" s="57">
        <f>D16+D22</f>
        <v>89832</v>
      </c>
      <c r="E14" s="57">
        <f>E16+E22</f>
        <v>149500</v>
      </c>
      <c r="F14" s="57">
        <f>F16+F22</f>
        <v>6015.440000000002</v>
      </c>
      <c r="G14" s="57">
        <f>G16+G22</f>
        <v>93938.44</v>
      </c>
      <c r="H14" s="14">
        <f>G14/D14</f>
        <v>1.0457124410009797</v>
      </c>
      <c r="I14" s="14">
        <f>+G14/E14</f>
        <v>0.6283507692307693</v>
      </c>
      <c r="J14" s="5"/>
    </row>
    <row r="15" spans="1:10" ht="12.75">
      <c r="A15" s="10"/>
      <c r="B15" s="19" t="s">
        <v>25</v>
      </c>
      <c r="C15" s="58"/>
      <c r="D15" s="31"/>
      <c r="E15" s="31"/>
      <c r="F15" s="31"/>
      <c r="G15" s="31"/>
      <c r="H15" s="32"/>
      <c r="I15" s="32"/>
      <c r="J15" s="5"/>
    </row>
    <row r="16" spans="1:10" ht="12.75">
      <c r="A16" s="10"/>
      <c r="B16" s="59" t="s">
        <v>26</v>
      </c>
      <c r="C16" s="47" t="s">
        <v>22</v>
      </c>
      <c r="D16" s="31">
        <v>88346</v>
      </c>
      <c r="E16" s="31">
        <v>89500</v>
      </c>
      <c r="F16" s="31">
        <f>+G16-87923</f>
        <v>1279.4400000000023</v>
      </c>
      <c r="G16" s="31">
        <v>89202.44</v>
      </c>
      <c r="H16" s="32">
        <f aca="true" t="shared" si="0" ref="H16:H22">G16/D16</f>
        <v>1.0096941570642701</v>
      </c>
      <c r="I16" s="32">
        <f>+G16/E16</f>
        <v>0.9966753072625698</v>
      </c>
      <c r="J16" s="18"/>
    </row>
    <row r="17" spans="1:10" ht="12.75">
      <c r="A17" s="10"/>
      <c r="B17" s="59" t="s">
        <v>27</v>
      </c>
      <c r="C17" s="47" t="s">
        <v>22</v>
      </c>
      <c r="D17" s="31">
        <v>3211</v>
      </c>
      <c r="E17" s="31"/>
      <c r="F17" s="31">
        <f>+G17-2383</f>
        <v>175</v>
      </c>
      <c r="G17" s="31">
        <v>2558</v>
      </c>
      <c r="H17" s="32">
        <f t="shared" si="0"/>
        <v>0.7966365618187481</v>
      </c>
      <c r="I17" s="32"/>
      <c r="J17" s="18"/>
    </row>
    <row r="18" spans="1:10" ht="12.75">
      <c r="A18" s="10"/>
      <c r="B18" s="59" t="s">
        <v>28</v>
      </c>
      <c r="C18" s="47" t="s">
        <v>22</v>
      </c>
      <c r="D18" s="31">
        <v>10665</v>
      </c>
      <c r="E18" s="31">
        <f>+E16</f>
        <v>89500</v>
      </c>
      <c r="F18" s="31">
        <f>+G18-8860</f>
        <v>6622</v>
      </c>
      <c r="G18" s="31">
        <v>15482</v>
      </c>
      <c r="H18" s="32">
        <f t="shared" si="0"/>
        <v>1.4516643225503985</v>
      </c>
      <c r="I18" s="32">
        <f aca="true" t="shared" si="1" ref="I18:I24">+G18/E18</f>
        <v>0.17298324022346367</v>
      </c>
      <c r="J18" s="18"/>
    </row>
    <row r="19" spans="1:10" ht="12.75">
      <c r="A19" s="10"/>
      <c r="B19" s="59" t="s">
        <v>29</v>
      </c>
      <c r="C19" s="56" t="s">
        <v>30</v>
      </c>
      <c r="D19" s="33">
        <f>+D20/D18*10</f>
        <v>52.70042194092827</v>
      </c>
      <c r="E19" s="33">
        <f>+E20/E16*10</f>
        <v>54.06737430167598</v>
      </c>
      <c r="F19" s="33">
        <f>+F20/F18*10</f>
        <v>52.31350045303533</v>
      </c>
      <c r="G19" s="33">
        <f>+G20/G18*10</f>
        <v>52.49580157602377</v>
      </c>
      <c r="H19" s="32">
        <f t="shared" si="0"/>
        <v>0.9961172917147825</v>
      </c>
      <c r="I19" s="32">
        <f t="shared" si="1"/>
        <v>0.9709330673821256</v>
      </c>
      <c r="J19" s="5"/>
    </row>
    <row r="20" spans="1:10" ht="12.75">
      <c r="A20" s="10"/>
      <c r="B20" s="59" t="s">
        <v>31</v>
      </c>
      <c r="C20" s="47" t="s">
        <v>32</v>
      </c>
      <c r="D20" s="31">
        <v>56205</v>
      </c>
      <c r="E20" s="31">
        <v>483903</v>
      </c>
      <c r="F20" s="31">
        <f>+G20-46632</f>
        <v>34642</v>
      </c>
      <c r="G20" s="31">
        <v>81274</v>
      </c>
      <c r="H20" s="32">
        <f t="shared" si="0"/>
        <v>1.4460279334578774</v>
      </c>
      <c r="I20" s="32">
        <f t="shared" si="1"/>
        <v>0.1679551480358667</v>
      </c>
      <c r="J20" s="5"/>
    </row>
    <row r="21" spans="1:10" ht="12.75">
      <c r="A21" s="10"/>
      <c r="B21" s="26" t="s">
        <v>33</v>
      </c>
      <c r="C21" s="47"/>
      <c r="D21" s="31"/>
      <c r="E21" s="31"/>
      <c r="F21" s="31"/>
      <c r="G21" s="31"/>
      <c r="H21" s="32"/>
      <c r="I21" s="32"/>
      <c r="J21" s="5"/>
    </row>
    <row r="22" spans="1:11" ht="12.75">
      <c r="A22" s="10"/>
      <c r="B22" s="59" t="s">
        <v>34</v>
      </c>
      <c r="C22" s="47" t="s">
        <v>22</v>
      </c>
      <c r="D22" s="31">
        <v>1486</v>
      </c>
      <c r="E22" s="31">
        <v>60000</v>
      </c>
      <c r="F22" s="31">
        <f>G22</f>
        <v>4736</v>
      </c>
      <c r="G22" s="31">
        <v>4736</v>
      </c>
      <c r="H22" s="32">
        <f t="shared" si="0"/>
        <v>3.1870794078061913</v>
      </c>
      <c r="I22" s="32">
        <f t="shared" si="1"/>
        <v>0.07893333333333333</v>
      </c>
      <c r="J22" s="5"/>
      <c r="K22" s="127"/>
    </row>
    <row r="23" spans="1:10" ht="12.75">
      <c r="A23" s="10"/>
      <c r="B23" s="59" t="s">
        <v>29</v>
      </c>
      <c r="C23" s="56" t="s">
        <v>30</v>
      </c>
      <c r="D23" s="31"/>
      <c r="E23" s="33">
        <f>+E24/E22*10</f>
        <v>62.5</v>
      </c>
      <c r="F23" s="31"/>
      <c r="G23" s="31"/>
      <c r="H23" s="32"/>
      <c r="I23" s="32">
        <f t="shared" si="1"/>
        <v>0</v>
      </c>
      <c r="J23" s="5"/>
    </row>
    <row r="24" spans="1:11" ht="12.75">
      <c r="A24" s="10"/>
      <c r="B24" s="59" t="s">
        <v>31</v>
      </c>
      <c r="C24" s="47" t="s">
        <v>32</v>
      </c>
      <c r="D24" s="31"/>
      <c r="E24" s="31">
        <v>375000</v>
      </c>
      <c r="F24" s="31"/>
      <c r="G24" s="31"/>
      <c r="H24" s="32"/>
      <c r="I24" s="32">
        <f t="shared" si="1"/>
        <v>0</v>
      </c>
      <c r="J24" s="5"/>
      <c r="K24" s="128"/>
    </row>
    <row r="25" spans="1:10" ht="12.75">
      <c r="A25" s="60"/>
      <c r="B25" s="61" t="s">
        <v>35</v>
      </c>
      <c r="C25" s="56"/>
      <c r="D25" s="31"/>
      <c r="E25" s="20"/>
      <c r="F25" s="20"/>
      <c r="G25" s="21"/>
      <c r="H25" s="14"/>
      <c r="I25" s="14"/>
      <c r="J25" s="5"/>
    </row>
    <row r="26" spans="1:10" ht="12.75">
      <c r="A26" s="60"/>
      <c r="B26" s="61" t="s">
        <v>36</v>
      </c>
      <c r="C26" s="56" t="s">
        <v>22</v>
      </c>
      <c r="D26" s="20">
        <f>+D29+D33+D47+D58</f>
        <v>54833</v>
      </c>
      <c r="E26" s="20">
        <f>+E29+E33+E47+E58</f>
        <v>55580</v>
      </c>
      <c r="F26" s="20">
        <f>+F29+F33+F47+F58</f>
        <v>3634.6900000000014</v>
      </c>
      <c r="G26" s="20">
        <f>+G29+G33+G47+G58</f>
        <v>53719.45</v>
      </c>
      <c r="H26" s="14">
        <f>G26/D26</f>
        <v>0.979691973811391</v>
      </c>
      <c r="I26" s="14">
        <f>+G26/E26</f>
        <v>0.9665248290752069</v>
      </c>
      <c r="J26" s="18"/>
    </row>
    <row r="27" spans="1:11" ht="12.75">
      <c r="A27" s="60"/>
      <c r="B27" s="61" t="s">
        <v>37</v>
      </c>
      <c r="C27" s="56" t="s">
        <v>22</v>
      </c>
      <c r="D27" s="20">
        <f>+D30+D36+D41+D46+D50+D55+D61+D67+D72+D77</f>
        <v>47240</v>
      </c>
      <c r="E27" s="20">
        <f>+E30+E36+E41+E46+E50+E55+E61+E67+E72+E77</f>
        <v>53780</v>
      </c>
      <c r="F27" s="20">
        <f>+F30+F36+F41+F46+F50+F55+F61+F67+F72+F77</f>
        <v>3403.480000000001</v>
      </c>
      <c r="G27" s="20">
        <f>+G30+G36+G41+G46+G50+G55+G61+G67+G72+G77</f>
        <v>43086.280000000006</v>
      </c>
      <c r="H27" s="14">
        <f>G27/D27</f>
        <v>0.9120719729043185</v>
      </c>
      <c r="I27" s="14">
        <f>+G27/E27</f>
        <v>0.8011580513201935</v>
      </c>
      <c r="J27" s="5"/>
      <c r="K27" s="127"/>
    </row>
    <row r="28" spans="1:10" ht="12.75">
      <c r="A28" s="60"/>
      <c r="B28" s="19" t="s">
        <v>38</v>
      </c>
      <c r="C28" s="56"/>
      <c r="D28" s="15"/>
      <c r="E28" s="15"/>
      <c r="F28" s="15"/>
      <c r="G28" s="15"/>
      <c r="H28" s="14"/>
      <c r="I28" s="14"/>
      <c r="J28" s="5"/>
    </row>
    <row r="29" spans="1:10" ht="12.75">
      <c r="A29" s="60"/>
      <c r="B29" s="62" t="s">
        <v>39</v>
      </c>
      <c r="C29" s="56" t="s">
        <v>22</v>
      </c>
      <c r="D29" s="34">
        <v>5453</v>
      </c>
      <c r="E29" s="34">
        <v>5800</v>
      </c>
      <c r="F29" s="34">
        <f>+G29-4571.2</f>
        <v>701.8000000000002</v>
      </c>
      <c r="G29" s="34">
        <v>5273</v>
      </c>
      <c r="H29" s="32">
        <f>G29/D29</f>
        <v>0.9669906473500826</v>
      </c>
      <c r="I29" s="32">
        <f>+G29/E29</f>
        <v>0.9091379310344827</v>
      </c>
      <c r="J29" s="5"/>
    </row>
    <row r="30" spans="1:10" ht="12.75">
      <c r="A30" s="60"/>
      <c r="B30" s="62" t="s">
        <v>40</v>
      </c>
      <c r="C30" s="56" t="s">
        <v>41</v>
      </c>
      <c r="D30" s="35">
        <v>4351</v>
      </c>
      <c r="E30" s="35">
        <f>+E29</f>
        <v>5800</v>
      </c>
      <c r="F30" s="63">
        <f>+G30-3752</f>
        <v>298.1199999999999</v>
      </c>
      <c r="G30" s="64">
        <v>4050.12</v>
      </c>
      <c r="H30" s="32">
        <f>G30/D30</f>
        <v>0.9308480809009423</v>
      </c>
      <c r="I30" s="32">
        <f>+G30/E30</f>
        <v>0.698296551724138</v>
      </c>
      <c r="J30" s="5"/>
    </row>
    <row r="31" spans="1:10" ht="12.75">
      <c r="A31" s="60"/>
      <c r="B31" s="62" t="s">
        <v>29</v>
      </c>
      <c r="C31" s="56" t="s">
        <v>30</v>
      </c>
      <c r="D31" s="36">
        <f>+D32/D30*10</f>
        <v>51.50080441277868</v>
      </c>
      <c r="E31" s="36">
        <f>+E32/E30*10</f>
        <v>38.793103448275865</v>
      </c>
      <c r="F31" s="65">
        <f>+(F32/F30)*10</f>
        <v>45.54867838454301</v>
      </c>
      <c r="G31" s="65">
        <f>+(G32/G30)*10</f>
        <v>53.099999999999994</v>
      </c>
      <c r="H31" s="32">
        <f>G31/D31</f>
        <v>1.0310518564798283</v>
      </c>
      <c r="I31" s="32">
        <f>+G31/E31</f>
        <v>1.3687999999999998</v>
      </c>
      <c r="J31" s="5"/>
    </row>
    <row r="32" spans="1:10" ht="12.75">
      <c r="A32" s="60"/>
      <c r="B32" s="66" t="s">
        <v>42</v>
      </c>
      <c r="C32" s="56" t="s">
        <v>43</v>
      </c>
      <c r="D32" s="35">
        <v>22408</v>
      </c>
      <c r="E32" s="35">
        <v>22500</v>
      </c>
      <c r="F32" s="63">
        <f>+G32-20148.24</f>
        <v>1357.8971999999958</v>
      </c>
      <c r="G32" s="67">
        <f>+G30*5.31</f>
        <v>21506.137199999997</v>
      </c>
      <c r="H32" s="32">
        <f>G32/D32</f>
        <v>0.9597526419136022</v>
      </c>
      <c r="I32" s="32">
        <f>+G32/E32</f>
        <v>0.9558283199999998</v>
      </c>
      <c r="J32" s="5"/>
    </row>
    <row r="33" spans="1:11" ht="12.75">
      <c r="A33" s="60" t="s">
        <v>44</v>
      </c>
      <c r="B33" s="19" t="s">
        <v>45</v>
      </c>
      <c r="C33" s="68" t="s">
        <v>22</v>
      </c>
      <c r="D33" s="22">
        <f>+D35+D40+D45</f>
        <v>3563</v>
      </c>
      <c r="E33" s="22">
        <f>+E35+E40+E45</f>
        <v>3650</v>
      </c>
      <c r="F33" s="22">
        <f>+F35+F40+F45</f>
        <v>412.7500000000001</v>
      </c>
      <c r="G33" s="22">
        <f>+G35+G40+G45</f>
        <v>3254</v>
      </c>
      <c r="H33" s="14">
        <f>G33/D33</f>
        <v>0.9132753297782767</v>
      </c>
      <c r="I33" s="14">
        <f>+G33/E33</f>
        <v>0.8915068493150685</v>
      </c>
      <c r="J33" s="5"/>
      <c r="K33" s="23"/>
    </row>
    <row r="34" spans="1:10" ht="13.5">
      <c r="A34" s="60"/>
      <c r="B34" s="19" t="s">
        <v>46</v>
      </c>
      <c r="C34" s="56"/>
      <c r="D34" s="37"/>
      <c r="E34" s="37"/>
      <c r="F34" s="37"/>
      <c r="G34" s="38"/>
      <c r="H34" s="14"/>
      <c r="I34" s="14"/>
      <c r="J34" s="5"/>
    </row>
    <row r="35" spans="1:10" ht="12.75">
      <c r="A35" s="60"/>
      <c r="B35" s="62" t="s">
        <v>47</v>
      </c>
      <c r="C35" s="56" t="s">
        <v>22</v>
      </c>
      <c r="D35" s="34">
        <v>1755</v>
      </c>
      <c r="E35" s="34">
        <v>1850</v>
      </c>
      <c r="F35" s="34">
        <f>+G35-1310.35</f>
        <v>279.6500000000001</v>
      </c>
      <c r="G35" s="31">
        <v>1590</v>
      </c>
      <c r="H35" s="32">
        <f>G35/D35</f>
        <v>0.905982905982906</v>
      </c>
      <c r="I35" s="32">
        <f>+G35/E35</f>
        <v>0.8594594594594595</v>
      </c>
      <c r="J35" s="5"/>
    </row>
    <row r="36" spans="1:10" ht="12.75">
      <c r="A36" s="60"/>
      <c r="B36" s="62" t="s">
        <v>48</v>
      </c>
      <c r="C36" s="56" t="s">
        <v>41</v>
      </c>
      <c r="D36" s="35">
        <v>1402</v>
      </c>
      <c r="E36" s="35">
        <f>+E35</f>
        <v>1850</v>
      </c>
      <c r="F36" s="63">
        <f>+G36-1072</f>
        <v>55.200000000000045</v>
      </c>
      <c r="G36" s="64">
        <v>1127.2</v>
      </c>
      <c r="H36" s="32">
        <f>G36/D36</f>
        <v>0.8039942938659059</v>
      </c>
      <c r="I36" s="32">
        <f>+G36/E36</f>
        <v>0.6092972972972973</v>
      </c>
      <c r="J36" s="5"/>
    </row>
    <row r="37" spans="1:10" ht="12.75">
      <c r="A37" s="60"/>
      <c r="B37" s="62" t="s">
        <v>49</v>
      </c>
      <c r="C37" s="56" t="s">
        <v>30</v>
      </c>
      <c r="D37" s="36">
        <f>+D38/D36*10</f>
        <v>134.50071326676178</v>
      </c>
      <c r="E37" s="36">
        <f>+E38/E36*10</f>
        <v>148.7027027027027</v>
      </c>
      <c r="F37" s="36">
        <f>+F38/F36*10</f>
        <v>73.1884057971014</v>
      </c>
      <c r="G37" s="65">
        <f>+(G38/G36)*10</f>
        <v>162.5</v>
      </c>
      <c r="H37" s="32">
        <f>G37/D37</f>
        <v>1.2081720316063</v>
      </c>
      <c r="I37" s="32">
        <f>+G37/E37</f>
        <v>1.0927844420210833</v>
      </c>
      <c r="J37" s="5"/>
    </row>
    <row r="38" spans="1:10" ht="12.75">
      <c r="A38" s="60"/>
      <c r="B38" s="69" t="s">
        <v>50</v>
      </c>
      <c r="C38" s="56" t="s">
        <v>43</v>
      </c>
      <c r="D38" s="39">
        <v>18857</v>
      </c>
      <c r="E38" s="39">
        <v>27510</v>
      </c>
      <c r="F38" s="70">
        <f>+G38-17913</f>
        <v>404</v>
      </c>
      <c r="G38" s="67">
        <f>+G36*16.25</f>
        <v>18317</v>
      </c>
      <c r="H38" s="32">
        <f>G38/D38</f>
        <v>0.971363419419844</v>
      </c>
      <c r="I38" s="32">
        <f>+G38/E38</f>
        <v>0.665830607051981</v>
      </c>
      <c r="J38" s="5"/>
    </row>
    <row r="39" spans="1:10" ht="12.75">
      <c r="A39" s="60"/>
      <c r="B39" s="19" t="s">
        <v>51</v>
      </c>
      <c r="C39" s="56"/>
      <c r="D39" s="37"/>
      <c r="E39" s="37"/>
      <c r="F39" s="37"/>
      <c r="G39" s="33"/>
      <c r="H39" s="14"/>
      <c r="I39" s="14"/>
      <c r="J39" s="5"/>
    </row>
    <row r="40" spans="1:10" ht="12.75">
      <c r="A40" s="60"/>
      <c r="B40" s="62" t="s">
        <v>47</v>
      </c>
      <c r="C40" s="56" t="s">
        <v>22</v>
      </c>
      <c r="D40" s="34">
        <v>1100</v>
      </c>
      <c r="E40" s="34">
        <v>1100</v>
      </c>
      <c r="F40" s="34">
        <f>+G40-957.3</f>
        <v>112.70000000000005</v>
      </c>
      <c r="G40" s="31">
        <v>1070</v>
      </c>
      <c r="H40" s="32">
        <f>G40/D40</f>
        <v>0.9727272727272728</v>
      </c>
      <c r="I40" s="32">
        <f>+G40/E40</f>
        <v>0.9727272727272728</v>
      </c>
      <c r="J40" s="5"/>
    </row>
    <row r="41" spans="1:10" ht="12.75">
      <c r="A41" s="60"/>
      <c r="B41" s="62" t="s">
        <v>48</v>
      </c>
      <c r="C41" s="56" t="s">
        <v>41</v>
      </c>
      <c r="D41" s="35">
        <v>932</v>
      </c>
      <c r="E41" s="35">
        <f>+E40</f>
        <v>1100</v>
      </c>
      <c r="F41" s="63">
        <f>+G41-673</f>
        <v>83.41999999999996</v>
      </c>
      <c r="G41" s="67">
        <v>756.42</v>
      </c>
      <c r="H41" s="32">
        <f>G41/D41</f>
        <v>0.8116094420600858</v>
      </c>
      <c r="I41" s="32">
        <f>+G41/E41</f>
        <v>0.6876545454545454</v>
      </c>
      <c r="J41" s="5"/>
    </row>
    <row r="42" spans="1:10" ht="12.75">
      <c r="A42" s="60"/>
      <c r="B42" s="62" t="s">
        <v>49</v>
      </c>
      <c r="C42" s="56" t="s">
        <v>30</v>
      </c>
      <c r="D42" s="36">
        <f>+D43/D41*10</f>
        <v>128.00429184549355</v>
      </c>
      <c r="E42" s="36">
        <f>+E43/E41*10</f>
        <v>138</v>
      </c>
      <c r="F42" s="36">
        <f>+F43/F41*10</f>
        <v>35.37355550227762</v>
      </c>
      <c r="G42" s="65">
        <f>+(G43/G41)*10</f>
        <v>141.10000000000002</v>
      </c>
      <c r="H42" s="32">
        <f>G42/D42</f>
        <v>1.1023067896060355</v>
      </c>
      <c r="I42" s="32">
        <f>+G42/E42</f>
        <v>1.022463768115942</v>
      </c>
      <c r="J42" s="5"/>
    </row>
    <row r="43" spans="1:10" ht="12.75">
      <c r="A43" s="60"/>
      <c r="B43" s="69" t="s">
        <v>50</v>
      </c>
      <c r="C43" s="56" t="s">
        <v>43</v>
      </c>
      <c r="D43" s="37">
        <v>11930</v>
      </c>
      <c r="E43" s="37">
        <v>15180</v>
      </c>
      <c r="F43" s="71">
        <f>+G43-10378</f>
        <v>295.08619999999974</v>
      </c>
      <c r="G43" s="67">
        <f>+G41*14.11</f>
        <v>10673.0862</v>
      </c>
      <c r="H43" s="32">
        <f>G43/D43</f>
        <v>0.8946425984911986</v>
      </c>
      <c r="I43" s="32">
        <f>+G43/E43</f>
        <v>0.7031018577075099</v>
      </c>
      <c r="J43" s="5"/>
    </row>
    <row r="44" spans="1:10" ht="12.75">
      <c r="A44" s="60"/>
      <c r="B44" s="19" t="s">
        <v>52</v>
      </c>
      <c r="C44" s="56"/>
      <c r="D44" s="37"/>
      <c r="E44" s="37"/>
      <c r="F44" s="37"/>
      <c r="G44" s="24"/>
      <c r="H44" s="14"/>
      <c r="I44" s="14"/>
      <c r="J44" s="5"/>
    </row>
    <row r="45" spans="1:10" ht="12.75">
      <c r="A45" s="60"/>
      <c r="B45" s="62" t="s">
        <v>47</v>
      </c>
      <c r="C45" s="56" t="s">
        <v>22</v>
      </c>
      <c r="D45" s="34">
        <v>708</v>
      </c>
      <c r="E45" s="40">
        <v>700</v>
      </c>
      <c r="F45" s="40">
        <f>+G45-573.6</f>
        <v>20.399999999999977</v>
      </c>
      <c r="G45" s="35">
        <v>594</v>
      </c>
      <c r="H45" s="32">
        <f>G45/D45</f>
        <v>0.8389830508474576</v>
      </c>
      <c r="I45" s="32">
        <f>+G45/E45</f>
        <v>0.8485714285714285</v>
      </c>
      <c r="J45" s="5"/>
    </row>
    <row r="46" spans="1:10" ht="12.75">
      <c r="A46" s="60"/>
      <c r="B46" s="62" t="s">
        <v>48</v>
      </c>
      <c r="C46" s="56" t="s">
        <v>41</v>
      </c>
      <c r="D46" s="39">
        <v>520</v>
      </c>
      <c r="E46" s="41">
        <f>+E45</f>
        <v>700</v>
      </c>
      <c r="F46" s="41">
        <f>+G46-415</f>
        <v>0</v>
      </c>
      <c r="G46" s="35">
        <v>415</v>
      </c>
      <c r="H46" s="32">
        <f>G46/D46</f>
        <v>0.7980769230769231</v>
      </c>
      <c r="I46" s="32">
        <f>+G46/E46</f>
        <v>0.5928571428571429</v>
      </c>
      <c r="J46" s="5"/>
    </row>
    <row r="47" spans="1:10" ht="12.75">
      <c r="A47" s="60" t="s">
        <v>53</v>
      </c>
      <c r="B47" s="19" t="s">
        <v>54</v>
      </c>
      <c r="C47" s="56" t="s">
        <v>22</v>
      </c>
      <c r="D47" s="22">
        <f>+D49+D54</f>
        <v>30140</v>
      </c>
      <c r="E47" s="22">
        <f>+E49+E54</f>
        <v>31100</v>
      </c>
      <c r="F47" s="22">
        <f>+F49+F54</f>
        <v>832.7200000000012</v>
      </c>
      <c r="G47" s="22">
        <f>+G49+G54</f>
        <v>28587.45</v>
      </c>
      <c r="H47" s="14">
        <f>G47/D47</f>
        <v>0.9484887193098872</v>
      </c>
      <c r="I47" s="14">
        <f>+G47/E47</f>
        <v>0.9192106109324759</v>
      </c>
      <c r="J47" s="5"/>
    </row>
    <row r="48" spans="1:10" ht="12.75">
      <c r="A48" s="60"/>
      <c r="B48" s="19" t="s">
        <v>55</v>
      </c>
      <c r="C48" s="56"/>
      <c r="D48" s="22"/>
      <c r="E48" s="22"/>
      <c r="F48" s="22"/>
      <c r="G48" s="22"/>
      <c r="H48" s="14"/>
      <c r="I48" s="14"/>
      <c r="J48" s="5"/>
    </row>
    <row r="49" spans="1:10" ht="12.75">
      <c r="A49" s="60"/>
      <c r="B49" s="62" t="s">
        <v>56</v>
      </c>
      <c r="C49" s="56" t="s">
        <v>22</v>
      </c>
      <c r="D49" s="31">
        <v>29449</v>
      </c>
      <c r="E49" s="31">
        <v>30000</v>
      </c>
      <c r="F49" s="31">
        <f>+G49-26957.28</f>
        <v>832.7200000000012</v>
      </c>
      <c r="G49" s="35">
        <v>27790</v>
      </c>
      <c r="H49" s="32">
        <f>G49/D49</f>
        <v>0.9436653197052531</v>
      </c>
      <c r="I49" s="32">
        <f>+G49/E49</f>
        <v>0.9263333333333333</v>
      </c>
      <c r="J49" s="18"/>
    </row>
    <row r="50" spans="1:10" ht="12.75">
      <c r="A50" s="60"/>
      <c r="B50" s="62" t="s">
        <v>48</v>
      </c>
      <c r="C50" s="56" t="s">
        <v>41</v>
      </c>
      <c r="D50" s="31">
        <v>27351</v>
      </c>
      <c r="E50" s="31">
        <f>+E49</f>
        <v>30000</v>
      </c>
      <c r="F50" s="31">
        <f>+G50-21585</f>
        <v>2633.5600000000013</v>
      </c>
      <c r="G50" s="35">
        <v>24218.56</v>
      </c>
      <c r="H50" s="32">
        <f>G50/D50</f>
        <v>0.8854725604182663</v>
      </c>
      <c r="I50" s="32">
        <f>+G50/E50</f>
        <v>0.8072853333333334</v>
      </c>
      <c r="J50" s="5"/>
    </row>
    <row r="51" spans="1:10" ht="12.75">
      <c r="A51" s="60"/>
      <c r="B51" s="62" t="s">
        <v>49</v>
      </c>
      <c r="C51" s="56" t="s">
        <v>30</v>
      </c>
      <c r="D51" s="33">
        <f>+D52/D50*10</f>
        <v>205.7599356513473</v>
      </c>
      <c r="E51" s="31">
        <f>+E52/E50*10</f>
        <v>206</v>
      </c>
      <c r="F51" s="43">
        <f>+F52/F50*10</f>
        <v>220.6961299533711</v>
      </c>
      <c r="G51" s="43">
        <f>+G52/G50*10</f>
        <v>212.5</v>
      </c>
      <c r="H51" s="32">
        <f>G51/D51</f>
        <v>1.0327569326230424</v>
      </c>
      <c r="I51" s="32">
        <f>+G51/E51</f>
        <v>1.0315533980582525</v>
      </c>
      <c r="J51" s="5"/>
    </row>
    <row r="52" spans="1:10" ht="12.75">
      <c r="A52" s="60"/>
      <c r="B52" s="69" t="s">
        <v>50</v>
      </c>
      <c r="C52" s="56" t="s">
        <v>43</v>
      </c>
      <c r="D52" s="31">
        <v>562774</v>
      </c>
      <c r="E52" s="31">
        <v>618000</v>
      </c>
      <c r="F52" s="31">
        <f>+G52-456522.75</f>
        <v>58121.65000000002</v>
      </c>
      <c r="G52" s="35">
        <f>+G50*21.25</f>
        <v>514644.4</v>
      </c>
      <c r="H52" s="32">
        <f>G52/D52</f>
        <v>0.9144779254194402</v>
      </c>
      <c r="I52" s="32">
        <f>+G52/E52</f>
        <v>0.832757928802589</v>
      </c>
      <c r="J52" s="5"/>
    </row>
    <row r="53" spans="1:10" ht="12.75">
      <c r="A53" s="60"/>
      <c r="B53" s="61" t="s">
        <v>57</v>
      </c>
      <c r="C53" s="56"/>
      <c r="D53" s="31"/>
      <c r="E53" s="31"/>
      <c r="F53" s="31"/>
      <c r="G53" s="35"/>
      <c r="H53" s="32"/>
      <c r="I53" s="32"/>
      <c r="J53" s="5"/>
    </row>
    <row r="54" spans="1:10" ht="12.75">
      <c r="A54" s="60"/>
      <c r="B54" s="62" t="s">
        <v>56</v>
      </c>
      <c r="C54" s="56" t="s">
        <v>22</v>
      </c>
      <c r="D54" s="31">
        <v>691</v>
      </c>
      <c r="E54" s="31">
        <v>1100</v>
      </c>
      <c r="F54" s="31">
        <f>+G54-797.45</f>
        <v>0</v>
      </c>
      <c r="G54" s="35">
        <f>788+9.45</f>
        <v>797.45</v>
      </c>
      <c r="H54" s="32">
        <f>G54/D54</f>
        <v>1.1540520984081042</v>
      </c>
      <c r="I54" s="32">
        <f>+G54/E54</f>
        <v>0.7249545454545455</v>
      </c>
      <c r="J54" s="5"/>
    </row>
    <row r="55" spans="1:10" ht="12.75">
      <c r="A55" s="60"/>
      <c r="B55" s="62" t="s">
        <v>48</v>
      </c>
      <c r="C55" s="56" t="s">
        <v>41</v>
      </c>
      <c r="D55" s="31">
        <v>612</v>
      </c>
      <c r="E55" s="31">
        <f>+E54</f>
        <v>1100</v>
      </c>
      <c r="F55" s="31">
        <f>+G55-650</f>
        <v>23</v>
      </c>
      <c r="G55" s="35">
        <v>673</v>
      </c>
      <c r="H55" s="32">
        <f>G55/D55</f>
        <v>1.0996732026143792</v>
      </c>
      <c r="I55" s="32">
        <f>+G55/E55</f>
        <v>0.6118181818181818</v>
      </c>
      <c r="J55" s="5"/>
    </row>
    <row r="56" spans="1:10" ht="12.75">
      <c r="A56" s="60"/>
      <c r="B56" s="62" t="s">
        <v>49</v>
      </c>
      <c r="C56" s="56" t="s">
        <v>30</v>
      </c>
      <c r="D56" s="33">
        <f>+D57/D55*10</f>
        <v>13.202614379084967</v>
      </c>
      <c r="E56" s="31">
        <f>+E57/E55*10</f>
        <v>12</v>
      </c>
      <c r="F56" s="43">
        <f>+F57/F55*10</f>
        <v>13.600000000000037</v>
      </c>
      <c r="G56" s="43">
        <f>+G57/G55*10</f>
        <v>13.600000000000001</v>
      </c>
      <c r="H56" s="32">
        <f>G56/D56</f>
        <v>1.0300990099009903</v>
      </c>
      <c r="I56" s="32">
        <f>+G56/E56</f>
        <v>1.1333333333333335</v>
      </c>
      <c r="J56" s="5"/>
    </row>
    <row r="57" spans="1:10" ht="12.75">
      <c r="A57" s="60"/>
      <c r="B57" s="69" t="s">
        <v>50</v>
      </c>
      <c r="C57" s="56" t="s">
        <v>43</v>
      </c>
      <c r="D57" s="31">
        <v>808</v>
      </c>
      <c r="E57" s="31">
        <v>1320</v>
      </c>
      <c r="F57" s="31">
        <f>+G57-884</f>
        <v>31.280000000000086</v>
      </c>
      <c r="G57" s="35">
        <f>+G55*1.36</f>
        <v>915.2800000000001</v>
      </c>
      <c r="H57" s="32">
        <f>G57/D57</f>
        <v>1.132772277227723</v>
      </c>
      <c r="I57" s="32">
        <f>+G57/E57</f>
        <v>0.6933939393939395</v>
      </c>
      <c r="J57" s="5"/>
    </row>
    <row r="58" spans="1:10" ht="12.75">
      <c r="A58" s="72" t="s">
        <v>58</v>
      </c>
      <c r="B58" s="19" t="s">
        <v>59</v>
      </c>
      <c r="C58" s="56" t="s">
        <v>60</v>
      </c>
      <c r="D58" s="22">
        <f>+D60+D65+D71+D75</f>
        <v>15677</v>
      </c>
      <c r="E58" s="22">
        <f>+E60+E65+E71+E75</f>
        <v>15030</v>
      </c>
      <c r="F58" s="22">
        <f>+F60+F65+F71+F75</f>
        <v>1687.4199999999998</v>
      </c>
      <c r="G58" s="22">
        <f>+G60+G65+G71+G75</f>
        <v>16605</v>
      </c>
      <c r="H58" s="14">
        <f>G58/D58</f>
        <v>1.0591949990431844</v>
      </c>
      <c r="I58" s="14">
        <f>+G58/E58</f>
        <v>1.1047904191616766</v>
      </c>
      <c r="J58" s="5"/>
    </row>
    <row r="59" spans="1:10" ht="13.5">
      <c r="A59" s="60"/>
      <c r="B59" s="19" t="s">
        <v>61</v>
      </c>
      <c r="C59" s="68" t="s">
        <v>22</v>
      </c>
      <c r="D59" s="57"/>
      <c r="E59" s="73"/>
      <c r="F59" s="73"/>
      <c r="G59" s="73"/>
      <c r="H59" s="14"/>
      <c r="I59" s="14"/>
      <c r="J59" s="5"/>
    </row>
    <row r="60" spans="1:10" ht="12.75">
      <c r="A60" s="60"/>
      <c r="B60" s="62" t="s">
        <v>47</v>
      </c>
      <c r="C60" s="56" t="s">
        <v>22</v>
      </c>
      <c r="D60" s="34">
        <v>4662</v>
      </c>
      <c r="E60" s="34">
        <v>4950</v>
      </c>
      <c r="F60" s="34">
        <f>+G60-4166.8</f>
        <v>475.1999999999998</v>
      </c>
      <c r="G60" s="35">
        <v>4642</v>
      </c>
      <c r="H60" s="14">
        <f>G60/D60</f>
        <v>0.9957099957099957</v>
      </c>
      <c r="I60" s="14">
        <f>+G60/E60</f>
        <v>0.9377777777777778</v>
      </c>
      <c r="J60" s="5"/>
    </row>
    <row r="61" spans="1:10" ht="12.75">
      <c r="A61" s="60"/>
      <c r="B61" s="62" t="s">
        <v>48</v>
      </c>
      <c r="C61" s="56" t="s">
        <v>41</v>
      </c>
      <c r="D61" s="35">
        <v>4123</v>
      </c>
      <c r="E61" s="35">
        <f>+E60</f>
        <v>4950</v>
      </c>
      <c r="F61" s="63">
        <f>+G61-3857.25</f>
        <v>161.07999999999993</v>
      </c>
      <c r="G61" s="67">
        <v>4018.33</v>
      </c>
      <c r="H61" s="32">
        <f>G61/D61</f>
        <v>0.9746131457676449</v>
      </c>
      <c r="I61" s="32">
        <f>+G61/E61</f>
        <v>0.8117838383838384</v>
      </c>
      <c r="J61" s="5"/>
    </row>
    <row r="62" spans="1:10" ht="12.75">
      <c r="A62" s="60"/>
      <c r="B62" s="62" t="s">
        <v>49</v>
      </c>
      <c r="C62" s="56" t="s">
        <v>30</v>
      </c>
      <c r="D62" s="36">
        <f>+D63/D61*10</f>
        <v>46.50012127091923</v>
      </c>
      <c r="E62" s="36">
        <f>+E63/E61*10</f>
        <v>46.8</v>
      </c>
      <c r="F62" s="65">
        <f>+(F63/F61)*10</f>
        <v>49.3170784703253</v>
      </c>
      <c r="G62" s="65">
        <f>+(G63/G61)*10</f>
        <v>51.5</v>
      </c>
      <c r="H62" s="32">
        <f>G62/D62</f>
        <v>1.107523993323597</v>
      </c>
      <c r="I62" s="32">
        <f>+G62/E62</f>
        <v>1.1004273504273505</v>
      </c>
      <c r="J62" s="5"/>
    </row>
    <row r="63" spans="1:10" ht="12.75">
      <c r="A63" s="60"/>
      <c r="B63" s="69" t="s">
        <v>50</v>
      </c>
      <c r="C63" s="56" t="s">
        <v>43</v>
      </c>
      <c r="D63" s="37">
        <v>19172</v>
      </c>
      <c r="E63" s="37">
        <v>23166</v>
      </c>
      <c r="F63" s="71">
        <f>+G63-19900</f>
        <v>794.3994999999995</v>
      </c>
      <c r="G63" s="67">
        <f>+G61*5.15</f>
        <v>20694.3995</v>
      </c>
      <c r="H63" s="32">
        <f>G63/D63</f>
        <v>1.079407443146255</v>
      </c>
      <c r="I63" s="32">
        <f>+G63/E63</f>
        <v>0.8933091383924717</v>
      </c>
      <c r="J63" s="5"/>
    </row>
    <row r="64" spans="1:10" ht="12.75">
      <c r="A64" s="60"/>
      <c r="B64" s="19" t="s">
        <v>62</v>
      </c>
      <c r="C64" s="56"/>
      <c r="D64" s="42"/>
      <c r="E64" s="37"/>
      <c r="F64" s="37"/>
      <c r="G64" s="43"/>
      <c r="H64" s="14"/>
      <c r="I64" s="14"/>
      <c r="J64" s="5"/>
    </row>
    <row r="65" spans="1:10" ht="12.75">
      <c r="A65" s="60"/>
      <c r="B65" s="62" t="s">
        <v>63</v>
      </c>
      <c r="C65" s="56" t="s">
        <v>22</v>
      </c>
      <c r="D65" s="34">
        <v>6665</v>
      </c>
      <c r="E65" s="34">
        <v>6600</v>
      </c>
      <c r="F65" s="34">
        <f>+G65-6512.75</f>
        <v>269.25</v>
      </c>
      <c r="G65" s="35">
        <v>6782</v>
      </c>
      <c r="H65" s="32">
        <f>G65/D65</f>
        <v>1.0175543885971492</v>
      </c>
      <c r="I65" s="32">
        <f>+G65/E65</f>
        <v>1.0275757575757576</v>
      </c>
      <c r="J65" s="5"/>
    </row>
    <row r="66" spans="1:10" ht="12.75">
      <c r="A66" s="60"/>
      <c r="B66" s="62" t="s">
        <v>64</v>
      </c>
      <c r="C66" s="56" t="s">
        <v>41</v>
      </c>
      <c r="D66" s="37"/>
      <c r="E66" s="37"/>
      <c r="F66" s="37"/>
      <c r="G66" s="35"/>
      <c r="H66" s="32"/>
      <c r="I66" s="32"/>
      <c r="J66" s="5"/>
    </row>
    <row r="67" spans="1:10" ht="12.75">
      <c r="A67" s="60"/>
      <c r="B67" s="62" t="s">
        <v>48</v>
      </c>
      <c r="C67" s="56" t="s">
        <v>41</v>
      </c>
      <c r="D67" s="35">
        <v>6123</v>
      </c>
      <c r="E67" s="35">
        <f>+E65</f>
        <v>6600</v>
      </c>
      <c r="F67" s="63">
        <f>+G67-5765</f>
        <v>58.409999999999854</v>
      </c>
      <c r="G67" s="67">
        <v>5823.41</v>
      </c>
      <c r="H67" s="32">
        <f>G67/D67</f>
        <v>0.9510713702433448</v>
      </c>
      <c r="I67" s="32">
        <f>+G67/E67</f>
        <v>0.8823348484848484</v>
      </c>
      <c r="J67" s="5"/>
    </row>
    <row r="68" spans="1:10" ht="12.75">
      <c r="A68" s="60"/>
      <c r="B68" s="62" t="s">
        <v>65</v>
      </c>
      <c r="C68" s="56" t="s">
        <v>30</v>
      </c>
      <c r="D68" s="35">
        <f>+D69/D67*10</f>
        <v>1032.5004082965866</v>
      </c>
      <c r="E68" s="35">
        <f>+E69/E67*10</f>
        <v>1060</v>
      </c>
      <c r="F68" s="65">
        <f>(F69/F67)*10</f>
        <v>1074.9999999999948</v>
      </c>
      <c r="G68" s="67">
        <f>(G69/G67)*10</f>
        <v>1075</v>
      </c>
      <c r="H68" s="32">
        <f>G68/D68</f>
        <v>1.0411618158810503</v>
      </c>
      <c r="I68" s="32">
        <f>+G68/E68</f>
        <v>1.0141509433962264</v>
      </c>
      <c r="J68" s="5"/>
    </row>
    <row r="69" spans="1:10" ht="12.75">
      <c r="A69" s="60"/>
      <c r="B69" s="69" t="s">
        <v>50</v>
      </c>
      <c r="C69" s="56" t="s">
        <v>43</v>
      </c>
      <c r="D69" s="37">
        <v>632200</v>
      </c>
      <c r="E69" s="37">
        <v>699600</v>
      </c>
      <c r="F69" s="74">
        <f>+G69-619737.5</f>
        <v>6279.074999999953</v>
      </c>
      <c r="G69" s="64">
        <f>+G67*107.5</f>
        <v>626016.575</v>
      </c>
      <c r="H69" s="32">
        <f>G69/D69</f>
        <v>0.9902191948750395</v>
      </c>
      <c r="I69" s="32">
        <f>+G69/E69</f>
        <v>0.8948207189822756</v>
      </c>
      <c r="J69" s="5"/>
    </row>
    <row r="70" spans="1:10" ht="12.75">
      <c r="A70" s="60"/>
      <c r="B70" s="61" t="s">
        <v>66</v>
      </c>
      <c r="C70" s="56"/>
      <c r="D70" s="37"/>
      <c r="E70" s="37"/>
      <c r="F70" s="37"/>
      <c r="G70" s="35"/>
      <c r="H70" s="14"/>
      <c r="I70" s="14"/>
      <c r="J70" s="5"/>
    </row>
    <row r="71" spans="1:10" ht="12.75">
      <c r="A71" s="60"/>
      <c r="B71" s="62" t="s">
        <v>47</v>
      </c>
      <c r="C71" s="56" t="s">
        <v>22</v>
      </c>
      <c r="D71" s="37">
        <v>2208</v>
      </c>
      <c r="E71" s="37">
        <v>1500</v>
      </c>
      <c r="F71" s="37">
        <f>+G71-2414</f>
        <v>156</v>
      </c>
      <c r="G71" s="35">
        <v>2570</v>
      </c>
      <c r="H71" s="32">
        <f aca="true" t="shared" si="2" ref="H71:H77">G71/D71</f>
        <v>1.1639492753623188</v>
      </c>
      <c r="I71" s="32">
        <f aca="true" t="shared" si="3" ref="I71:I77">+G71/E71</f>
        <v>1.7133333333333334</v>
      </c>
      <c r="J71" s="5"/>
    </row>
    <row r="72" spans="1:10" ht="12.75">
      <c r="A72" s="60"/>
      <c r="B72" s="62" t="s">
        <v>48</v>
      </c>
      <c r="C72" s="56" t="s">
        <v>41</v>
      </c>
      <c r="D72" s="35">
        <v>1632</v>
      </c>
      <c r="E72" s="35">
        <f>+E71</f>
        <v>1500</v>
      </c>
      <c r="F72" s="35">
        <f>+G72-1765.55</f>
        <v>90.69000000000005</v>
      </c>
      <c r="G72" s="67">
        <v>1856.24</v>
      </c>
      <c r="H72" s="32">
        <f t="shared" si="2"/>
        <v>1.1374019607843138</v>
      </c>
      <c r="I72" s="32">
        <f t="shared" si="3"/>
        <v>1.2374933333333333</v>
      </c>
      <c r="J72" s="5"/>
    </row>
    <row r="73" spans="1:10" ht="12.75">
      <c r="A73" s="60"/>
      <c r="B73" s="62" t="s">
        <v>49</v>
      </c>
      <c r="C73" s="56" t="s">
        <v>30</v>
      </c>
      <c r="D73" s="36">
        <f>+D74/D72*10</f>
        <v>82.19975490196079</v>
      </c>
      <c r="E73" s="36">
        <f>+E74/E72*10</f>
        <v>100</v>
      </c>
      <c r="F73" s="65">
        <f>(F74/F72)*10</f>
        <v>105.49999999999999</v>
      </c>
      <c r="G73" s="65">
        <f>(G74/G72)*10</f>
        <v>105.5</v>
      </c>
      <c r="H73" s="32">
        <f t="shared" si="2"/>
        <v>1.2834588147595973</v>
      </c>
      <c r="I73" s="32">
        <f t="shared" si="3"/>
        <v>1.055</v>
      </c>
      <c r="J73" s="5"/>
    </row>
    <row r="74" spans="1:10" ht="12.75">
      <c r="A74" s="60"/>
      <c r="B74" s="69" t="s">
        <v>50</v>
      </c>
      <c r="C74" s="56" t="s">
        <v>43</v>
      </c>
      <c r="D74" s="37">
        <v>13415</v>
      </c>
      <c r="E74" s="37">
        <v>15000</v>
      </c>
      <c r="F74" s="71">
        <f>+G74-18626.5525</f>
        <v>956.7795000000006</v>
      </c>
      <c r="G74" s="64">
        <f>+G72*10.55</f>
        <v>19583.332000000002</v>
      </c>
      <c r="H74" s="32">
        <f t="shared" si="2"/>
        <v>1.4598085724934775</v>
      </c>
      <c r="I74" s="32">
        <f t="shared" si="3"/>
        <v>1.3055554666666669</v>
      </c>
      <c r="J74" s="5"/>
    </row>
    <row r="75" spans="1:10" ht="12.75">
      <c r="A75" s="60"/>
      <c r="B75" s="25" t="s">
        <v>67</v>
      </c>
      <c r="C75" s="44" t="s">
        <v>68</v>
      </c>
      <c r="D75" s="20">
        <f>+D76+D77</f>
        <v>2142</v>
      </c>
      <c r="E75" s="20">
        <f>+E76+E77</f>
        <v>1980</v>
      </c>
      <c r="F75" s="20">
        <f>+F76+F77</f>
        <v>786.97</v>
      </c>
      <c r="G75" s="20">
        <f>+G76+G77</f>
        <v>2611</v>
      </c>
      <c r="H75" s="32">
        <f t="shared" si="2"/>
        <v>1.2189542483660132</v>
      </c>
      <c r="I75" s="32">
        <f t="shared" si="3"/>
        <v>1.3186868686868687</v>
      </c>
      <c r="J75" s="5"/>
    </row>
    <row r="76" spans="1:10" ht="12.75">
      <c r="A76" s="60"/>
      <c r="B76" s="45" t="s">
        <v>69</v>
      </c>
      <c r="C76" s="44" t="s">
        <v>70</v>
      </c>
      <c r="D76" s="31">
        <v>1948</v>
      </c>
      <c r="E76" s="31">
        <v>1800</v>
      </c>
      <c r="F76" s="31">
        <f>+G76-1676.03</f>
        <v>786.97</v>
      </c>
      <c r="G76" s="33">
        <v>2463</v>
      </c>
      <c r="H76" s="32">
        <f t="shared" si="2"/>
        <v>1.2643737166324436</v>
      </c>
      <c r="I76" s="32">
        <f t="shared" si="3"/>
        <v>1.3683333333333334</v>
      </c>
      <c r="J76" s="5"/>
    </row>
    <row r="77" spans="1:10" ht="12.75">
      <c r="A77" s="60"/>
      <c r="B77" s="45" t="s">
        <v>71</v>
      </c>
      <c r="C77" s="44" t="s">
        <v>70</v>
      </c>
      <c r="D77" s="31">
        <v>194</v>
      </c>
      <c r="E77" s="31">
        <v>180</v>
      </c>
      <c r="F77" s="31">
        <f>+G77-148</f>
        <v>0</v>
      </c>
      <c r="G77" s="31">
        <v>148</v>
      </c>
      <c r="H77" s="32">
        <f t="shared" si="2"/>
        <v>0.7628865979381443</v>
      </c>
      <c r="I77" s="32">
        <f t="shared" si="3"/>
        <v>0.8222222222222222</v>
      </c>
      <c r="J77" s="5"/>
    </row>
    <row r="78" spans="1:10" ht="12.75">
      <c r="A78" s="72">
        <v>2</v>
      </c>
      <c r="B78" s="19" t="s">
        <v>72</v>
      </c>
      <c r="C78" s="56"/>
      <c r="D78" s="75"/>
      <c r="E78" s="62"/>
      <c r="F78" s="62"/>
      <c r="G78" s="46"/>
      <c r="H78" s="32"/>
      <c r="I78" s="32"/>
      <c r="J78" s="5"/>
    </row>
    <row r="79" spans="1:10" ht="12.75">
      <c r="A79" s="72" t="s">
        <v>73</v>
      </c>
      <c r="B79" s="76" t="s">
        <v>74</v>
      </c>
      <c r="C79" s="47"/>
      <c r="D79" s="37"/>
      <c r="E79" s="77"/>
      <c r="F79" s="77"/>
      <c r="G79" s="77"/>
      <c r="H79" s="32"/>
      <c r="I79" s="32"/>
      <c r="J79" s="5"/>
    </row>
    <row r="80" spans="1:10" ht="12.75">
      <c r="A80" s="78" t="s">
        <v>14</v>
      </c>
      <c r="B80" s="26" t="s">
        <v>75</v>
      </c>
      <c r="C80" s="47"/>
      <c r="D80" s="47"/>
      <c r="E80" s="49"/>
      <c r="F80" s="49"/>
      <c r="G80" s="35"/>
      <c r="H80" s="32"/>
      <c r="I80" s="32"/>
      <c r="J80" s="5"/>
    </row>
    <row r="81" spans="1:10" ht="12.75">
      <c r="A81" s="78" t="s">
        <v>76</v>
      </c>
      <c r="B81" s="26" t="s">
        <v>77</v>
      </c>
      <c r="C81" s="47"/>
      <c r="D81" s="47"/>
      <c r="E81" s="49"/>
      <c r="F81" s="49"/>
      <c r="G81" s="35"/>
      <c r="H81" s="32"/>
      <c r="I81" s="32"/>
      <c r="J81" s="5"/>
    </row>
    <row r="82" spans="1:10" ht="12.75">
      <c r="A82" s="78" t="s">
        <v>78</v>
      </c>
      <c r="B82" s="49" t="s">
        <v>79</v>
      </c>
      <c r="C82" s="47" t="s">
        <v>22</v>
      </c>
      <c r="D82" s="49">
        <v>120</v>
      </c>
      <c r="E82" s="49">
        <v>130</v>
      </c>
      <c r="F82" s="79">
        <f>+G82-130.3</f>
        <v>0</v>
      </c>
      <c r="G82" s="48">
        <v>130.3</v>
      </c>
      <c r="H82" s="32">
        <f aca="true" t="shared" si="4" ref="H82:H91">G82/D82</f>
        <v>1.0858333333333334</v>
      </c>
      <c r="I82" s="32">
        <f>+G82/E82</f>
        <v>1.0023076923076923</v>
      </c>
      <c r="J82" s="5"/>
    </row>
    <row r="83" spans="1:10" ht="12.75">
      <c r="A83" s="78"/>
      <c r="B83" s="80" t="s">
        <v>80</v>
      </c>
      <c r="C83" s="47"/>
      <c r="D83" s="49"/>
      <c r="E83" s="49"/>
      <c r="F83" s="49"/>
      <c r="G83" s="20"/>
      <c r="H83" s="32"/>
      <c r="I83" s="32"/>
      <c r="J83" s="5"/>
    </row>
    <row r="84" spans="1:10" ht="12.75">
      <c r="A84" s="78"/>
      <c r="B84" s="49" t="s">
        <v>81</v>
      </c>
      <c r="C84" s="56" t="s">
        <v>82</v>
      </c>
      <c r="D84" s="49">
        <v>120</v>
      </c>
      <c r="E84" s="49">
        <f>+E82</f>
        <v>130</v>
      </c>
      <c r="F84" s="79">
        <f>+F82</f>
        <v>0</v>
      </c>
      <c r="G84" s="49">
        <f>+G82</f>
        <v>130.3</v>
      </c>
      <c r="H84" s="32">
        <f t="shared" si="4"/>
        <v>1.0858333333333334</v>
      </c>
      <c r="I84" s="32">
        <f>+G84/E84</f>
        <v>1.0023076923076923</v>
      </c>
      <c r="J84" s="5"/>
    </row>
    <row r="85" spans="1:10" ht="12.75">
      <c r="A85" s="78"/>
      <c r="B85" s="49" t="s">
        <v>83</v>
      </c>
      <c r="C85" s="56" t="s">
        <v>82</v>
      </c>
      <c r="D85" s="49"/>
      <c r="E85" s="49"/>
      <c r="F85" s="49"/>
      <c r="G85" s="49"/>
      <c r="H85" s="32"/>
      <c r="I85" s="32"/>
      <c r="J85" s="5"/>
    </row>
    <row r="86" spans="1:10" ht="12.75">
      <c r="A86" s="78"/>
      <c r="B86" s="49" t="s">
        <v>84</v>
      </c>
      <c r="C86" s="56" t="s">
        <v>82</v>
      </c>
      <c r="D86" s="49"/>
      <c r="E86" s="49"/>
      <c r="F86" s="49"/>
      <c r="G86" s="49"/>
      <c r="H86" s="32"/>
      <c r="I86" s="32"/>
      <c r="J86" s="5"/>
    </row>
    <row r="87" spans="1:10" ht="12.75">
      <c r="A87" s="78"/>
      <c r="B87" s="69" t="s">
        <v>85</v>
      </c>
      <c r="C87" s="47" t="s">
        <v>22</v>
      </c>
      <c r="D87" s="49"/>
      <c r="E87" s="49"/>
      <c r="F87" s="49"/>
      <c r="G87" s="49"/>
      <c r="H87" s="32"/>
      <c r="I87" s="32"/>
      <c r="J87" s="5"/>
    </row>
    <row r="88" spans="1:10" ht="12.75">
      <c r="A88" s="78" t="s">
        <v>44</v>
      </c>
      <c r="B88" s="49" t="s">
        <v>86</v>
      </c>
      <c r="C88" s="47" t="s">
        <v>22</v>
      </c>
      <c r="D88" s="49">
        <v>385</v>
      </c>
      <c r="E88" s="49">
        <v>314</v>
      </c>
      <c r="F88" s="49"/>
      <c r="G88" s="49">
        <v>315.537</v>
      </c>
      <c r="H88" s="32">
        <f t="shared" si="4"/>
        <v>0.8195766233766233</v>
      </c>
      <c r="I88" s="32">
        <f>+G88/E88</f>
        <v>1.0048949044585986</v>
      </c>
      <c r="J88" s="5"/>
    </row>
    <row r="89" spans="1:10" ht="12.75">
      <c r="A89" s="78" t="s">
        <v>53</v>
      </c>
      <c r="B89" s="49" t="s">
        <v>87</v>
      </c>
      <c r="C89" s="47" t="s">
        <v>22</v>
      </c>
      <c r="D89" s="49">
        <v>65</v>
      </c>
      <c r="E89" s="49">
        <v>65</v>
      </c>
      <c r="F89" s="49"/>
      <c r="G89" s="49">
        <v>65</v>
      </c>
      <c r="H89" s="32">
        <f t="shared" si="4"/>
        <v>1</v>
      </c>
      <c r="I89" s="32">
        <f>+G89/E89</f>
        <v>1</v>
      </c>
      <c r="J89" s="5"/>
    </row>
    <row r="90" spans="1:10" ht="12.75">
      <c r="A90" s="78" t="s">
        <v>88</v>
      </c>
      <c r="B90" s="49" t="s">
        <v>89</v>
      </c>
      <c r="C90" s="47" t="s">
        <v>22</v>
      </c>
      <c r="D90" s="35">
        <v>4118.7</v>
      </c>
      <c r="E90" s="35">
        <v>4793</v>
      </c>
      <c r="F90" s="35"/>
      <c r="G90" s="81">
        <v>4741.641</v>
      </c>
      <c r="H90" s="32">
        <f t="shared" si="4"/>
        <v>1.1512469954111735</v>
      </c>
      <c r="I90" s="32">
        <f>+G90/E90</f>
        <v>0.9892845816816189</v>
      </c>
      <c r="J90" s="5"/>
    </row>
    <row r="91" spans="1:10" ht="12.75">
      <c r="A91" s="78" t="s">
        <v>90</v>
      </c>
      <c r="B91" s="49" t="s">
        <v>91</v>
      </c>
      <c r="C91" s="47" t="s">
        <v>92</v>
      </c>
      <c r="D91" s="49">
        <v>127</v>
      </c>
      <c r="E91" s="35">
        <v>1000</v>
      </c>
      <c r="F91" s="35"/>
      <c r="G91" s="82">
        <v>1000</v>
      </c>
      <c r="H91" s="32">
        <f t="shared" si="4"/>
        <v>7.874015748031496</v>
      </c>
      <c r="I91" s="32">
        <f>+G91/E91</f>
        <v>1</v>
      </c>
      <c r="J91" s="5"/>
    </row>
    <row r="92" spans="1:10" ht="12.75">
      <c r="A92" s="78" t="s">
        <v>93</v>
      </c>
      <c r="B92" s="76" t="s">
        <v>94</v>
      </c>
      <c r="C92" s="47"/>
      <c r="D92" s="49"/>
      <c r="E92" s="49"/>
      <c r="F92" s="49"/>
      <c r="G92" s="49"/>
      <c r="H92" s="14"/>
      <c r="I92" s="14"/>
      <c r="J92" s="5"/>
    </row>
    <row r="93" spans="1:10" ht="15.75">
      <c r="A93" s="78"/>
      <c r="B93" s="49" t="s">
        <v>95</v>
      </c>
      <c r="C93" s="47" t="s">
        <v>96</v>
      </c>
      <c r="D93" s="49"/>
      <c r="E93" s="49"/>
      <c r="F93" s="49"/>
      <c r="G93" s="49"/>
      <c r="H93" s="14"/>
      <c r="I93" s="14"/>
      <c r="J93" s="5"/>
    </row>
    <row r="94" spans="1:10" ht="12.75">
      <c r="A94" s="78"/>
      <c r="B94" s="49" t="s">
        <v>158</v>
      </c>
      <c r="C94" s="56" t="s">
        <v>82</v>
      </c>
      <c r="D94" s="49"/>
      <c r="E94" s="49"/>
      <c r="F94" s="49"/>
      <c r="G94" s="49"/>
      <c r="H94" s="14"/>
      <c r="I94" s="14"/>
      <c r="J94" s="5"/>
    </row>
    <row r="95" spans="1:10" ht="12.75">
      <c r="A95" s="78" t="s">
        <v>15</v>
      </c>
      <c r="B95" s="26" t="s">
        <v>97</v>
      </c>
      <c r="C95" s="47"/>
      <c r="D95" s="49"/>
      <c r="E95" s="49"/>
      <c r="F95" s="49"/>
      <c r="G95" s="49"/>
      <c r="H95" s="14"/>
      <c r="I95" s="14"/>
      <c r="J95" s="5"/>
    </row>
    <row r="96" spans="1:10" ht="12.75">
      <c r="A96" s="78" t="s">
        <v>98</v>
      </c>
      <c r="B96" s="26" t="s">
        <v>99</v>
      </c>
      <c r="C96" s="47"/>
      <c r="D96" s="49"/>
      <c r="E96" s="49"/>
      <c r="F96" s="49"/>
      <c r="G96" s="49"/>
      <c r="H96" s="14"/>
      <c r="I96" s="14"/>
      <c r="J96" s="5"/>
    </row>
    <row r="97" spans="1:10" ht="14.25">
      <c r="A97" s="83" t="s">
        <v>76</v>
      </c>
      <c r="B97" s="53" t="s">
        <v>100</v>
      </c>
      <c r="C97" s="84" t="s">
        <v>22</v>
      </c>
      <c r="D97" s="85">
        <f>+D98+D104</f>
        <v>54479</v>
      </c>
      <c r="E97" s="86">
        <f>E98+E104</f>
        <v>48000</v>
      </c>
      <c r="F97" s="86">
        <f>+F98+F104</f>
        <v>181.24</v>
      </c>
      <c r="G97" s="87">
        <f>G98+G104</f>
        <v>51183.36</v>
      </c>
      <c r="H97" s="88">
        <f aca="true" t="shared" si="5" ref="H97:H102">G97/D97</f>
        <v>0.9395062317590265</v>
      </c>
      <c r="I97" s="88">
        <f aca="true" t="shared" si="6" ref="I97:I102">+G97/E97</f>
        <v>1.06632</v>
      </c>
      <c r="J97" s="5"/>
    </row>
    <row r="98" spans="1:10" ht="14.25">
      <c r="A98" s="89" t="s">
        <v>78</v>
      </c>
      <c r="B98" s="53" t="s">
        <v>101</v>
      </c>
      <c r="C98" s="52" t="s">
        <v>82</v>
      </c>
      <c r="D98" s="85">
        <f>+D99+D101+D103</f>
        <v>5280</v>
      </c>
      <c r="E98" s="85">
        <f>E99+E101+E103</f>
        <v>12000</v>
      </c>
      <c r="F98" s="90">
        <f>F99+F101+F103</f>
        <v>156.29999999999995</v>
      </c>
      <c r="G98" s="91">
        <f>G99+G101+G103</f>
        <v>4816.21</v>
      </c>
      <c r="H98" s="88">
        <f t="shared" si="5"/>
        <v>0.9121609848484848</v>
      </c>
      <c r="I98" s="88">
        <f t="shared" si="6"/>
        <v>0.4013508333333333</v>
      </c>
      <c r="J98" s="5"/>
    </row>
    <row r="99" spans="1:10" ht="15">
      <c r="A99" s="83"/>
      <c r="B99" s="50" t="s">
        <v>102</v>
      </c>
      <c r="C99" s="52" t="s">
        <v>82</v>
      </c>
      <c r="D99" s="92">
        <v>4147.12</v>
      </c>
      <c r="E99" s="92">
        <v>10600</v>
      </c>
      <c r="F99" s="93">
        <f>G99-3392</f>
        <v>155</v>
      </c>
      <c r="G99" s="94">
        <f>3597-50</f>
        <v>3547</v>
      </c>
      <c r="H99" s="95">
        <f t="shared" si="5"/>
        <v>0.8552923474604063</v>
      </c>
      <c r="I99" s="95">
        <f t="shared" si="6"/>
        <v>0.33462264150943394</v>
      </c>
      <c r="J99" s="5"/>
    </row>
    <row r="100" spans="1:10" ht="15">
      <c r="A100" s="83"/>
      <c r="B100" s="50" t="s">
        <v>103</v>
      </c>
      <c r="C100" s="52" t="s">
        <v>82</v>
      </c>
      <c r="D100" s="96">
        <v>106</v>
      </c>
      <c r="E100" s="92">
        <v>150</v>
      </c>
      <c r="F100" s="93">
        <f>G100-28.42</f>
        <v>10.909999999999997</v>
      </c>
      <c r="G100" s="97">
        <v>39.33</v>
      </c>
      <c r="H100" s="95">
        <f t="shared" si="5"/>
        <v>0.3710377358490566</v>
      </c>
      <c r="I100" s="95">
        <f t="shared" si="6"/>
        <v>0.2622</v>
      </c>
      <c r="J100" s="5"/>
    </row>
    <row r="101" spans="1:10" ht="15">
      <c r="A101" s="83"/>
      <c r="B101" s="50" t="s">
        <v>104</v>
      </c>
      <c r="C101" s="52" t="s">
        <v>82</v>
      </c>
      <c r="D101" s="96">
        <v>1132.88</v>
      </c>
      <c r="E101" s="92">
        <v>1300</v>
      </c>
      <c r="F101" s="93">
        <f>G101-1237.91</f>
        <v>1.2999999999999545</v>
      </c>
      <c r="G101" s="97">
        <f>G102</f>
        <v>1239.21</v>
      </c>
      <c r="H101" s="95">
        <f t="shared" si="5"/>
        <v>1.0938581314878892</v>
      </c>
      <c r="I101" s="95">
        <f t="shared" si="6"/>
        <v>0.9532384615384616</v>
      </c>
      <c r="J101" s="5"/>
    </row>
    <row r="102" spans="1:10" ht="15">
      <c r="A102" s="83"/>
      <c r="B102" s="50" t="s">
        <v>105</v>
      </c>
      <c r="C102" s="52" t="s">
        <v>82</v>
      </c>
      <c r="D102" s="96">
        <f>+D101</f>
        <v>1132.88</v>
      </c>
      <c r="E102" s="92">
        <f>+E101</f>
        <v>1300</v>
      </c>
      <c r="F102" s="93">
        <f>G102-1237.91</f>
        <v>1.2999999999999545</v>
      </c>
      <c r="G102" s="97">
        <v>1239.21</v>
      </c>
      <c r="H102" s="95">
        <f t="shared" si="5"/>
        <v>1.0938581314878892</v>
      </c>
      <c r="I102" s="95">
        <f t="shared" si="6"/>
        <v>0.9532384615384616</v>
      </c>
      <c r="J102" s="5"/>
    </row>
    <row r="103" spans="1:10" ht="15">
      <c r="A103" s="83"/>
      <c r="B103" s="50" t="s">
        <v>106</v>
      </c>
      <c r="C103" s="52" t="s">
        <v>82</v>
      </c>
      <c r="D103" s="50"/>
      <c r="E103" s="50">
        <v>100</v>
      </c>
      <c r="F103" s="51">
        <f>G103-30</f>
        <v>0</v>
      </c>
      <c r="G103" s="97">
        <v>30</v>
      </c>
      <c r="H103" s="95"/>
      <c r="I103" s="95"/>
      <c r="J103" s="5"/>
    </row>
    <row r="104" spans="1:10" ht="14.25">
      <c r="A104" s="89" t="s">
        <v>44</v>
      </c>
      <c r="B104" s="53" t="s">
        <v>107</v>
      </c>
      <c r="C104" s="84" t="s">
        <v>22</v>
      </c>
      <c r="D104" s="85">
        <f>+D105+D108+D112</f>
        <v>49199</v>
      </c>
      <c r="E104" s="85">
        <f>E105+E108+E112</f>
        <v>36000</v>
      </c>
      <c r="F104" s="98">
        <f>F105+F108+F112</f>
        <v>24.940000000000055</v>
      </c>
      <c r="G104" s="91">
        <f>G105+G108+G112</f>
        <v>46367.15</v>
      </c>
      <c r="H104" s="88">
        <f>G104/D104</f>
        <v>0.9424409032703917</v>
      </c>
      <c r="I104" s="88">
        <f>+G104/E104</f>
        <v>1.2879763888888889</v>
      </c>
      <c r="J104" s="5"/>
    </row>
    <row r="105" spans="1:10" ht="15">
      <c r="A105" s="83"/>
      <c r="B105" s="50" t="s">
        <v>102</v>
      </c>
      <c r="C105" s="52"/>
      <c r="D105" s="50"/>
      <c r="E105" s="92"/>
      <c r="F105" s="92"/>
      <c r="G105" s="97">
        <f>G106+G107</f>
        <v>49.6</v>
      </c>
      <c r="H105" s="88"/>
      <c r="I105" s="88"/>
      <c r="J105" s="5"/>
    </row>
    <row r="106" spans="1:10" ht="15">
      <c r="A106" s="83"/>
      <c r="B106" s="50" t="s">
        <v>108</v>
      </c>
      <c r="C106" s="52" t="s">
        <v>82</v>
      </c>
      <c r="D106" s="50"/>
      <c r="E106" s="92"/>
      <c r="F106" s="92"/>
      <c r="G106" s="97"/>
      <c r="H106" s="88"/>
      <c r="I106" s="88"/>
      <c r="J106" s="5"/>
    </row>
    <row r="107" spans="1:10" ht="15">
      <c r="A107" s="83"/>
      <c r="B107" s="50" t="s">
        <v>109</v>
      </c>
      <c r="C107" s="52"/>
      <c r="D107" s="50"/>
      <c r="E107" s="92"/>
      <c r="F107" s="92"/>
      <c r="G107" s="97">
        <v>49.6</v>
      </c>
      <c r="H107" s="88"/>
      <c r="I107" s="88"/>
      <c r="J107" s="5"/>
    </row>
    <row r="108" spans="1:10" ht="15">
      <c r="A108" s="83"/>
      <c r="B108" s="50" t="s">
        <v>104</v>
      </c>
      <c r="C108" s="52" t="s">
        <v>82</v>
      </c>
      <c r="D108" s="93">
        <f>D109+D110+D111</f>
        <v>48016</v>
      </c>
      <c r="E108" s="93">
        <f>E109+E110+E111</f>
        <v>33500</v>
      </c>
      <c r="F108" s="93">
        <f>F109+F110+F111</f>
        <v>24.940000000000055</v>
      </c>
      <c r="G108" s="94">
        <f>+G109+G110+G111</f>
        <v>46167.55</v>
      </c>
      <c r="H108" s="95">
        <f>G108/D108</f>
        <v>0.9615034571809398</v>
      </c>
      <c r="I108" s="95">
        <f>+G108/E108</f>
        <v>1.3781358208955226</v>
      </c>
      <c r="J108" s="5"/>
    </row>
    <row r="109" spans="1:10" ht="15">
      <c r="A109" s="83"/>
      <c r="B109" s="50" t="s">
        <v>110</v>
      </c>
      <c r="C109" s="52" t="s">
        <v>82</v>
      </c>
      <c r="D109" s="92">
        <v>29787.4</v>
      </c>
      <c r="E109" s="92">
        <v>18000</v>
      </c>
      <c r="F109" s="92">
        <f>G109-25897</f>
        <v>0</v>
      </c>
      <c r="G109" s="94">
        <v>25897</v>
      </c>
      <c r="H109" s="95">
        <f>G109/D109</f>
        <v>0.869394441945252</v>
      </c>
      <c r="I109" s="95">
        <f>+G109/E109</f>
        <v>1.4387222222222222</v>
      </c>
      <c r="J109" s="5"/>
    </row>
    <row r="110" spans="1:10" ht="15">
      <c r="A110" s="83"/>
      <c r="B110" s="50" t="s">
        <v>111</v>
      </c>
      <c r="C110" s="52" t="s">
        <v>82</v>
      </c>
      <c r="D110" s="92">
        <v>679</v>
      </c>
      <c r="E110" s="92">
        <v>2000</v>
      </c>
      <c r="F110" s="93">
        <f>G110-2237.66</f>
        <v>24.940000000000055</v>
      </c>
      <c r="G110" s="97">
        <v>2262.6</v>
      </c>
      <c r="H110" s="95">
        <f>G110/D110</f>
        <v>3.3322533136966124</v>
      </c>
      <c r="I110" s="95">
        <f>+G110/E110</f>
        <v>1.1313</v>
      </c>
      <c r="J110" s="5"/>
    </row>
    <row r="111" spans="1:10" ht="15">
      <c r="A111" s="83"/>
      <c r="B111" s="50" t="s">
        <v>112</v>
      </c>
      <c r="C111" s="52" t="s">
        <v>82</v>
      </c>
      <c r="D111" s="92">
        <v>17549.6</v>
      </c>
      <c r="E111" s="92">
        <v>13500</v>
      </c>
      <c r="F111" s="92">
        <f>G111-18007.95</f>
        <v>0</v>
      </c>
      <c r="G111" s="94">
        <v>18007.95</v>
      </c>
      <c r="H111" s="95">
        <f>G111/D111</f>
        <v>1.0261174043852852</v>
      </c>
      <c r="I111" s="95">
        <f>+G111/E111</f>
        <v>1.3339222222222222</v>
      </c>
      <c r="J111" s="5"/>
    </row>
    <row r="112" spans="1:10" ht="25.5">
      <c r="A112" s="83"/>
      <c r="B112" s="54" t="s">
        <v>113</v>
      </c>
      <c r="C112" s="52" t="s">
        <v>82</v>
      </c>
      <c r="D112" s="99">
        <v>1183</v>
      </c>
      <c r="E112" s="99">
        <v>2500</v>
      </c>
      <c r="F112" s="99">
        <f>G112-150</f>
        <v>0</v>
      </c>
      <c r="G112" s="100">
        <v>150</v>
      </c>
      <c r="H112" s="101">
        <f>G112/D112</f>
        <v>0.12679628064243448</v>
      </c>
      <c r="I112" s="101">
        <f>+G112/E112</f>
        <v>0.06</v>
      </c>
      <c r="J112" s="5"/>
    </row>
    <row r="113" spans="1:10" ht="15.75">
      <c r="A113" s="83" t="s">
        <v>93</v>
      </c>
      <c r="B113" s="102" t="s">
        <v>114</v>
      </c>
      <c r="C113" s="84" t="s">
        <v>96</v>
      </c>
      <c r="D113" s="50"/>
      <c r="E113" s="50"/>
      <c r="F113" s="50"/>
      <c r="G113" s="103"/>
      <c r="H113" s="88"/>
      <c r="I113" s="88"/>
      <c r="J113" s="5"/>
    </row>
    <row r="114" spans="1:10" ht="12.75">
      <c r="A114" s="83"/>
      <c r="B114" s="104" t="s">
        <v>115</v>
      </c>
      <c r="C114" s="52" t="s">
        <v>82</v>
      </c>
      <c r="D114" s="50"/>
      <c r="E114" s="50"/>
      <c r="F114" s="50"/>
      <c r="G114" s="103"/>
      <c r="H114" s="88"/>
      <c r="I114" s="88"/>
      <c r="J114" s="5"/>
    </row>
    <row r="115" spans="1:10" ht="12.75">
      <c r="A115" s="83"/>
      <c r="B115" s="104" t="s">
        <v>116</v>
      </c>
      <c r="C115" s="52" t="s">
        <v>82</v>
      </c>
      <c r="D115" s="50"/>
      <c r="E115" s="50"/>
      <c r="F115" s="50"/>
      <c r="G115" s="103"/>
      <c r="H115" s="88"/>
      <c r="I115" s="88"/>
      <c r="J115" s="5"/>
    </row>
    <row r="116" spans="1:10" ht="12.75">
      <c r="A116" s="83"/>
      <c r="B116" s="104" t="s">
        <v>117</v>
      </c>
      <c r="C116" s="52" t="s">
        <v>82</v>
      </c>
      <c r="D116" s="50"/>
      <c r="E116" s="50"/>
      <c r="F116" s="50"/>
      <c r="G116" s="103"/>
      <c r="H116" s="88"/>
      <c r="I116" s="88"/>
      <c r="J116" s="5"/>
    </row>
    <row r="117" spans="1:10" ht="12.75">
      <c r="A117" s="83" t="s">
        <v>118</v>
      </c>
      <c r="B117" s="53" t="s">
        <v>119</v>
      </c>
      <c r="C117" s="52" t="s">
        <v>120</v>
      </c>
      <c r="D117" s="50"/>
      <c r="E117" s="50"/>
      <c r="F117" s="50"/>
      <c r="G117" s="103"/>
      <c r="H117" s="88"/>
      <c r="I117" s="88"/>
      <c r="J117" s="5"/>
    </row>
    <row r="118" spans="1:10" ht="12.75">
      <c r="A118" s="83"/>
      <c r="B118" s="105" t="s">
        <v>121</v>
      </c>
      <c r="C118" s="52" t="s">
        <v>82</v>
      </c>
      <c r="D118" s="50"/>
      <c r="E118" s="50"/>
      <c r="F118" s="50"/>
      <c r="G118" s="103"/>
      <c r="H118" s="88"/>
      <c r="I118" s="88"/>
      <c r="J118" s="5"/>
    </row>
    <row r="119" spans="1:10" ht="12.75">
      <c r="A119" s="83"/>
      <c r="B119" s="105" t="s">
        <v>122</v>
      </c>
      <c r="C119" s="52" t="s">
        <v>82</v>
      </c>
      <c r="D119" s="50"/>
      <c r="E119" s="50"/>
      <c r="F119" s="50"/>
      <c r="G119" s="103"/>
      <c r="H119" s="88"/>
      <c r="I119" s="88"/>
      <c r="J119" s="5"/>
    </row>
    <row r="120" spans="1:10" ht="12.75">
      <c r="A120" s="83"/>
      <c r="B120" s="105" t="s">
        <v>123</v>
      </c>
      <c r="C120" s="52" t="s">
        <v>82</v>
      </c>
      <c r="D120" s="96"/>
      <c r="E120" s="106"/>
      <c r="F120" s="106"/>
      <c r="G120" s="103"/>
      <c r="H120" s="88"/>
      <c r="I120" s="88"/>
      <c r="J120" s="5"/>
    </row>
    <row r="121" spans="1:10" ht="12.75">
      <c r="A121" s="53">
        <v>4</v>
      </c>
      <c r="B121" s="107" t="s">
        <v>124</v>
      </c>
      <c r="C121" s="84" t="s">
        <v>43</v>
      </c>
      <c r="D121" s="85">
        <f>+D122+D138</f>
        <v>139557.53999999998</v>
      </c>
      <c r="E121" s="86">
        <f>+E122+E138</f>
        <v>148300</v>
      </c>
      <c r="F121" s="86">
        <f>+F122+F138</f>
        <v>17104.230000000003</v>
      </c>
      <c r="G121" s="86">
        <f>+G122+G138</f>
        <v>156243.6</v>
      </c>
      <c r="H121" s="88">
        <f aca="true" t="shared" si="7" ref="H121:H129">G121/D121</f>
        <v>1.1195640163906588</v>
      </c>
      <c r="I121" s="88">
        <f aca="true" t="shared" si="8" ref="I121:I127">+G121/E121</f>
        <v>1.0535643964935941</v>
      </c>
      <c r="J121" s="5"/>
    </row>
    <row r="122" spans="1:10" ht="12.75">
      <c r="A122" s="83" t="s">
        <v>125</v>
      </c>
      <c r="B122" s="53" t="s">
        <v>126</v>
      </c>
      <c r="C122" s="84" t="s">
        <v>43</v>
      </c>
      <c r="D122" s="85">
        <f>+D123+D129</f>
        <v>67380.7</v>
      </c>
      <c r="E122" s="85">
        <f>E123+E129</f>
        <v>85550</v>
      </c>
      <c r="F122" s="85">
        <f>F123+F129</f>
        <v>11044.36</v>
      </c>
      <c r="G122" s="85">
        <f>G123+G129</f>
        <v>87235.3</v>
      </c>
      <c r="H122" s="88">
        <f t="shared" si="7"/>
        <v>1.2946630118119877</v>
      </c>
      <c r="I122" s="88">
        <f t="shared" si="8"/>
        <v>1.0196995908825248</v>
      </c>
      <c r="J122" s="5"/>
    </row>
    <row r="123" spans="1:10" ht="12.75">
      <c r="A123" s="89" t="s">
        <v>127</v>
      </c>
      <c r="B123" s="53" t="s">
        <v>101</v>
      </c>
      <c r="C123" s="84" t="s">
        <v>43</v>
      </c>
      <c r="D123" s="85">
        <f>D124+D126+D128</f>
        <v>49314</v>
      </c>
      <c r="E123" s="85">
        <f>E124+E126+E128</f>
        <v>55800</v>
      </c>
      <c r="F123" s="85">
        <f>F124+F126+F128</f>
        <v>7761.8</v>
      </c>
      <c r="G123" s="85">
        <f>G124+G126+G128</f>
        <v>56342.3</v>
      </c>
      <c r="H123" s="88">
        <f t="shared" si="7"/>
        <v>1.1425213935190819</v>
      </c>
      <c r="I123" s="88">
        <f t="shared" si="8"/>
        <v>1.0097186379928316</v>
      </c>
      <c r="J123" s="5"/>
    </row>
    <row r="124" spans="1:10" ht="12.75">
      <c r="A124" s="83"/>
      <c r="B124" s="50" t="s">
        <v>128</v>
      </c>
      <c r="C124" s="52" t="s">
        <v>82</v>
      </c>
      <c r="D124" s="93">
        <v>48570</v>
      </c>
      <c r="E124" s="92">
        <v>54900</v>
      </c>
      <c r="F124" s="92">
        <f>G124-48100</f>
        <v>7736.5</v>
      </c>
      <c r="G124" s="103">
        <v>55836.5</v>
      </c>
      <c r="H124" s="108">
        <f t="shared" si="7"/>
        <v>1.149608812023883</v>
      </c>
      <c r="I124" s="108">
        <f t="shared" si="8"/>
        <v>1.0170582877959926</v>
      </c>
      <c r="J124" s="27"/>
    </row>
    <row r="125" spans="1:10" ht="12.75">
      <c r="A125" s="83"/>
      <c r="B125" s="50" t="s">
        <v>159</v>
      </c>
      <c r="C125" s="52" t="s">
        <v>82</v>
      </c>
      <c r="D125" s="93">
        <v>20262.9</v>
      </c>
      <c r="E125" s="92">
        <v>26300</v>
      </c>
      <c r="F125" s="92">
        <f>G125-11780</f>
        <v>1227</v>
      </c>
      <c r="G125" s="96">
        <v>13007</v>
      </c>
      <c r="H125" s="108">
        <f t="shared" si="7"/>
        <v>0.6419120658938257</v>
      </c>
      <c r="I125" s="108">
        <f t="shared" si="8"/>
        <v>0.49456273764258557</v>
      </c>
      <c r="J125" s="5"/>
    </row>
    <row r="126" spans="1:10" ht="12.75">
      <c r="A126" s="83"/>
      <c r="B126" s="50" t="s">
        <v>129</v>
      </c>
      <c r="C126" s="52" t="s">
        <v>82</v>
      </c>
      <c r="D126" s="93">
        <v>744</v>
      </c>
      <c r="E126" s="92">
        <v>800</v>
      </c>
      <c r="F126" s="92">
        <f>G126-366</f>
        <v>25.30000000000001</v>
      </c>
      <c r="G126" s="96">
        <f>G127</f>
        <v>391.3</v>
      </c>
      <c r="H126" s="108">
        <f t="shared" si="7"/>
        <v>0.5259408602150538</v>
      </c>
      <c r="I126" s="108">
        <f t="shared" si="8"/>
        <v>0.48912500000000003</v>
      </c>
      <c r="J126" s="5"/>
    </row>
    <row r="127" spans="1:10" ht="15.75">
      <c r="A127" s="83"/>
      <c r="B127" s="50" t="s">
        <v>155</v>
      </c>
      <c r="C127" s="52" t="s">
        <v>82</v>
      </c>
      <c r="D127" s="93">
        <f>+D126</f>
        <v>744</v>
      </c>
      <c r="E127" s="92">
        <f>+E126</f>
        <v>800</v>
      </c>
      <c r="F127" s="92">
        <f>G127-366</f>
        <v>25.30000000000001</v>
      </c>
      <c r="G127" s="96">
        <v>391.3</v>
      </c>
      <c r="H127" s="108">
        <f t="shared" si="7"/>
        <v>0.5259408602150538</v>
      </c>
      <c r="I127" s="108">
        <f t="shared" si="8"/>
        <v>0.48912500000000003</v>
      </c>
      <c r="J127" s="5"/>
    </row>
    <row r="128" spans="1:10" ht="12.75">
      <c r="A128" s="83"/>
      <c r="B128" s="50" t="s">
        <v>130</v>
      </c>
      <c r="C128" s="52" t="s">
        <v>82</v>
      </c>
      <c r="D128" s="51"/>
      <c r="E128" s="92">
        <v>100</v>
      </c>
      <c r="F128" s="92">
        <f>G128-114.5</f>
        <v>0</v>
      </c>
      <c r="G128" s="103">
        <v>114.5</v>
      </c>
      <c r="H128" s="108"/>
      <c r="I128" s="108"/>
      <c r="J128" s="5"/>
    </row>
    <row r="129" spans="1:10" ht="12.75">
      <c r="A129" s="89" t="s">
        <v>131</v>
      </c>
      <c r="B129" s="53" t="s">
        <v>107</v>
      </c>
      <c r="C129" s="84" t="s">
        <v>43</v>
      </c>
      <c r="D129" s="86">
        <f>+D130+D133+D137</f>
        <v>18066.7</v>
      </c>
      <c r="E129" s="85">
        <f>E130+E133+E137</f>
        <v>29750</v>
      </c>
      <c r="F129" s="85">
        <f>F130+F133+F137</f>
        <v>3282.5600000000004</v>
      </c>
      <c r="G129" s="85">
        <f>G130+G133+G137</f>
        <v>30893</v>
      </c>
      <c r="H129" s="88">
        <f t="shared" si="7"/>
        <v>1.7099414945728881</v>
      </c>
      <c r="I129" s="88">
        <f>+G129/E129</f>
        <v>1.038420168067227</v>
      </c>
      <c r="J129" s="5"/>
    </row>
    <row r="130" spans="1:10" ht="12.75">
      <c r="A130" s="83"/>
      <c r="B130" s="50" t="s">
        <v>132</v>
      </c>
      <c r="C130" s="52" t="s">
        <v>82</v>
      </c>
      <c r="D130" s="50"/>
      <c r="E130" s="92"/>
      <c r="F130" s="92">
        <f>G130-250</f>
        <v>0</v>
      </c>
      <c r="G130" s="96">
        <v>250</v>
      </c>
      <c r="H130" s="88"/>
      <c r="I130" s="88"/>
      <c r="J130" s="5"/>
    </row>
    <row r="131" spans="1:10" ht="15.75">
      <c r="A131" s="83"/>
      <c r="B131" s="50" t="s">
        <v>156</v>
      </c>
      <c r="C131" s="52" t="s">
        <v>82</v>
      </c>
      <c r="D131" s="50"/>
      <c r="E131" s="92"/>
      <c r="F131" s="92"/>
      <c r="G131" s="103"/>
      <c r="H131" s="88"/>
      <c r="I131" s="88"/>
      <c r="J131" s="5"/>
    </row>
    <row r="132" spans="1:10" ht="12.75">
      <c r="A132" s="83"/>
      <c r="B132" s="50" t="s">
        <v>133</v>
      </c>
      <c r="C132" s="52"/>
      <c r="D132" s="50"/>
      <c r="E132" s="92"/>
      <c r="F132" s="92"/>
      <c r="G132" s="103"/>
      <c r="H132" s="88"/>
      <c r="I132" s="88"/>
      <c r="J132" s="5"/>
    </row>
    <row r="133" spans="1:10" ht="12.75">
      <c r="A133" s="83"/>
      <c r="B133" s="50" t="s">
        <v>134</v>
      </c>
      <c r="C133" s="52" t="s">
        <v>82</v>
      </c>
      <c r="D133" s="93">
        <f>D134+D135+D136</f>
        <v>17206.7</v>
      </c>
      <c r="E133" s="92">
        <f>E134+E135+E136</f>
        <v>28250</v>
      </c>
      <c r="F133" s="92">
        <f>F134+F135+F136</f>
        <v>3282.5600000000004</v>
      </c>
      <c r="G133" s="109">
        <f>G134+G135+G136</f>
        <v>29896</v>
      </c>
      <c r="H133" s="108">
        <f aca="true" t="shared" si="9" ref="H133:H140">G133/D133</f>
        <v>1.7374627325402314</v>
      </c>
      <c r="I133" s="108">
        <f aca="true" t="shared" si="10" ref="I133:I140">+G133/E133</f>
        <v>1.0582654867256638</v>
      </c>
      <c r="J133" s="5"/>
    </row>
    <row r="134" spans="1:10" ht="15.75">
      <c r="A134" s="83"/>
      <c r="B134" s="50" t="s">
        <v>157</v>
      </c>
      <c r="C134" s="52" t="s">
        <v>82</v>
      </c>
      <c r="D134" s="93">
        <v>9870</v>
      </c>
      <c r="E134" s="92">
        <v>14800</v>
      </c>
      <c r="F134" s="92">
        <f>G134-11379.31</f>
        <v>1218.6900000000005</v>
      </c>
      <c r="G134" s="92">
        <v>12598</v>
      </c>
      <c r="H134" s="108">
        <f t="shared" si="9"/>
        <v>1.2763931104356636</v>
      </c>
      <c r="I134" s="108">
        <f t="shared" si="10"/>
        <v>0.8512162162162162</v>
      </c>
      <c r="J134" s="5"/>
    </row>
    <row r="135" spans="1:10" ht="12.75">
      <c r="A135" s="83"/>
      <c r="B135" s="50" t="s">
        <v>135</v>
      </c>
      <c r="C135" s="52" t="s">
        <v>82</v>
      </c>
      <c r="D135" s="93">
        <v>946.7</v>
      </c>
      <c r="E135" s="92">
        <v>5200</v>
      </c>
      <c r="F135" s="92">
        <f>G135-7637.59</f>
        <v>1410.4099999999999</v>
      </c>
      <c r="G135" s="92">
        <v>9048</v>
      </c>
      <c r="H135" s="108">
        <f t="shared" si="9"/>
        <v>9.557409950353861</v>
      </c>
      <c r="I135" s="108">
        <f t="shared" si="10"/>
        <v>1.74</v>
      </c>
      <c r="J135" s="5"/>
    </row>
    <row r="136" spans="1:10" ht="12.75">
      <c r="A136" s="83"/>
      <c r="B136" s="50" t="s">
        <v>136</v>
      </c>
      <c r="C136" s="52" t="s">
        <v>82</v>
      </c>
      <c r="D136" s="93">
        <v>6390</v>
      </c>
      <c r="E136" s="92">
        <v>8250</v>
      </c>
      <c r="F136" s="92">
        <f>G136-7596.54</f>
        <v>653.46</v>
      </c>
      <c r="G136" s="92">
        <v>8250</v>
      </c>
      <c r="H136" s="108">
        <f t="shared" si="9"/>
        <v>1.2910798122065728</v>
      </c>
      <c r="I136" s="108">
        <f t="shared" si="10"/>
        <v>1</v>
      </c>
      <c r="J136" s="5"/>
    </row>
    <row r="137" spans="1:10" ht="25.5">
      <c r="A137" s="83"/>
      <c r="B137" s="54" t="s">
        <v>137</v>
      </c>
      <c r="C137" s="52" t="s">
        <v>82</v>
      </c>
      <c r="D137" s="110">
        <v>860</v>
      </c>
      <c r="E137" s="99">
        <v>1500</v>
      </c>
      <c r="F137" s="99">
        <f>G137-747</f>
        <v>0</v>
      </c>
      <c r="G137" s="99">
        <v>747</v>
      </c>
      <c r="H137" s="111">
        <f t="shared" si="9"/>
        <v>0.8686046511627907</v>
      </c>
      <c r="I137" s="111">
        <f t="shared" si="10"/>
        <v>0.498</v>
      </c>
      <c r="J137" s="5"/>
    </row>
    <row r="138" spans="1:10" ht="12.75">
      <c r="A138" s="83" t="s">
        <v>138</v>
      </c>
      <c r="B138" s="112" t="s">
        <v>139</v>
      </c>
      <c r="C138" s="84" t="s">
        <v>43</v>
      </c>
      <c r="D138" s="85">
        <f>+D139+D150</f>
        <v>72176.84</v>
      </c>
      <c r="E138" s="85">
        <f>E139+E150</f>
        <v>62750</v>
      </c>
      <c r="F138" s="85">
        <f>F139+F150</f>
        <v>6059.870000000004</v>
      </c>
      <c r="G138" s="85">
        <f>G139+G150</f>
        <v>69008.3</v>
      </c>
      <c r="H138" s="88">
        <f t="shared" si="9"/>
        <v>0.9561003224857171</v>
      </c>
      <c r="I138" s="88">
        <f t="shared" si="10"/>
        <v>1.0997338645418326</v>
      </c>
      <c r="J138" s="5"/>
    </row>
    <row r="139" spans="1:10" ht="12.75">
      <c r="A139" s="89" t="s">
        <v>140</v>
      </c>
      <c r="B139" s="112" t="s">
        <v>141</v>
      </c>
      <c r="C139" s="84" t="s">
        <v>43</v>
      </c>
      <c r="D139" s="85">
        <f>D140+D143+D146+D149</f>
        <v>56921.6</v>
      </c>
      <c r="E139" s="85">
        <f>E140+E143+E146+E149</f>
        <v>50550</v>
      </c>
      <c r="F139" s="85">
        <f>F140+F143+F146+F149</f>
        <v>4927.630000000004</v>
      </c>
      <c r="G139" s="85">
        <f>G140+G143+G146+G149</f>
        <v>56325.3</v>
      </c>
      <c r="H139" s="88">
        <f t="shared" si="9"/>
        <v>0.9895241876545987</v>
      </c>
      <c r="I139" s="88">
        <f t="shared" si="10"/>
        <v>1.1142492581602375</v>
      </c>
      <c r="J139" s="5"/>
    </row>
    <row r="140" spans="1:10" ht="12.75">
      <c r="A140" s="83"/>
      <c r="B140" s="113" t="s">
        <v>142</v>
      </c>
      <c r="C140" s="84" t="s">
        <v>43</v>
      </c>
      <c r="D140" s="93">
        <v>22542.2</v>
      </c>
      <c r="E140" s="92">
        <v>20500</v>
      </c>
      <c r="F140" s="92">
        <f>G140-20458.85</f>
        <v>1573.6500000000015</v>
      </c>
      <c r="G140" s="96">
        <v>22032.5</v>
      </c>
      <c r="H140" s="108">
        <f t="shared" si="9"/>
        <v>0.9773890747132046</v>
      </c>
      <c r="I140" s="108">
        <f t="shared" si="10"/>
        <v>1.0747560975609756</v>
      </c>
      <c r="J140" s="5"/>
    </row>
    <row r="141" spans="1:10" ht="12.75">
      <c r="A141" s="83"/>
      <c r="B141" s="113" t="s">
        <v>143</v>
      </c>
      <c r="C141" s="52" t="s">
        <v>82</v>
      </c>
      <c r="D141" s="93"/>
      <c r="E141" s="93"/>
      <c r="F141" s="93"/>
      <c r="G141" s="50"/>
      <c r="H141" s="108"/>
      <c r="I141" s="108"/>
      <c r="J141" s="5"/>
    </row>
    <row r="142" spans="1:10" ht="12.75">
      <c r="A142" s="83"/>
      <c r="B142" s="113" t="s">
        <v>144</v>
      </c>
      <c r="C142" s="52" t="s">
        <v>82</v>
      </c>
      <c r="D142" s="93"/>
      <c r="E142" s="92"/>
      <c r="F142" s="92"/>
      <c r="G142" s="50"/>
      <c r="H142" s="108"/>
      <c r="I142" s="108"/>
      <c r="J142" s="5"/>
    </row>
    <row r="143" spans="1:10" ht="12.75">
      <c r="A143" s="83"/>
      <c r="B143" s="113" t="s">
        <v>145</v>
      </c>
      <c r="C143" s="84" t="s">
        <v>43</v>
      </c>
      <c r="D143" s="93">
        <v>12044.4</v>
      </c>
      <c r="E143" s="92">
        <v>4500</v>
      </c>
      <c r="F143" s="92">
        <f>F144</f>
        <v>444.65000000000055</v>
      </c>
      <c r="G143" s="96">
        <v>7578.8</v>
      </c>
      <c r="H143" s="108">
        <f>G143/D143</f>
        <v>0.6292384842748497</v>
      </c>
      <c r="I143" s="108">
        <f>+G143/E143</f>
        <v>1.6841777777777778</v>
      </c>
      <c r="J143" s="5"/>
    </row>
    <row r="144" spans="1:10" ht="12.75">
      <c r="A144" s="83"/>
      <c r="B144" s="113" t="s">
        <v>146</v>
      </c>
      <c r="C144" s="52" t="s">
        <v>82</v>
      </c>
      <c r="D144" s="93">
        <v>6388</v>
      </c>
      <c r="E144" s="92">
        <f>+E143</f>
        <v>4500</v>
      </c>
      <c r="F144" s="92">
        <f>G144-7134.15</f>
        <v>444.65000000000055</v>
      </c>
      <c r="G144" s="96">
        <v>7578.8</v>
      </c>
      <c r="H144" s="108">
        <f>G144/D144</f>
        <v>1.1864120225422667</v>
      </c>
      <c r="I144" s="108">
        <f>+G144/E144</f>
        <v>1.6841777777777778</v>
      </c>
      <c r="J144" s="5"/>
    </row>
    <row r="145" spans="1:10" ht="12.75">
      <c r="A145" s="83"/>
      <c r="B145" s="113" t="s">
        <v>144</v>
      </c>
      <c r="C145" s="52" t="s">
        <v>82</v>
      </c>
      <c r="D145" s="93"/>
      <c r="E145" s="92"/>
      <c r="F145" s="92"/>
      <c r="G145" s="50"/>
      <c r="H145" s="108"/>
      <c r="I145" s="108"/>
      <c r="J145" s="5"/>
    </row>
    <row r="146" spans="1:10" ht="12.75">
      <c r="A146" s="83"/>
      <c r="B146" s="113" t="s">
        <v>147</v>
      </c>
      <c r="C146" s="84" t="s">
        <v>43</v>
      </c>
      <c r="D146" s="93"/>
      <c r="E146" s="92"/>
      <c r="F146" s="92">
        <f>G146-505</f>
        <v>0</v>
      </c>
      <c r="G146" s="50">
        <v>505</v>
      </c>
      <c r="H146" s="108"/>
      <c r="I146" s="108"/>
      <c r="J146" s="5"/>
    </row>
    <row r="147" spans="1:10" ht="12.75">
      <c r="A147" s="83"/>
      <c r="B147" s="113" t="s">
        <v>143</v>
      </c>
      <c r="C147" s="52" t="s">
        <v>82</v>
      </c>
      <c r="D147" s="93"/>
      <c r="E147" s="92"/>
      <c r="F147" s="92"/>
      <c r="G147" s="50"/>
      <c r="H147" s="108"/>
      <c r="I147" s="108"/>
      <c r="J147" s="5"/>
    </row>
    <row r="148" spans="1:10" ht="12.75">
      <c r="A148" s="83"/>
      <c r="B148" s="113" t="s">
        <v>144</v>
      </c>
      <c r="C148" s="52" t="s">
        <v>82</v>
      </c>
      <c r="D148" s="93"/>
      <c r="E148" s="92"/>
      <c r="F148" s="92"/>
      <c r="G148" s="50"/>
      <c r="H148" s="108"/>
      <c r="I148" s="108"/>
      <c r="J148" s="5"/>
    </row>
    <row r="149" spans="1:10" ht="12.75">
      <c r="A149" s="83"/>
      <c r="B149" s="113" t="s">
        <v>148</v>
      </c>
      <c r="C149" s="52" t="s">
        <v>82</v>
      </c>
      <c r="D149" s="93">
        <v>22335</v>
      </c>
      <c r="E149" s="92">
        <v>25550</v>
      </c>
      <c r="F149" s="92">
        <f>G149-23299.67</f>
        <v>2909.3300000000017</v>
      </c>
      <c r="G149" s="103">
        <f>26714-G146</f>
        <v>26209</v>
      </c>
      <c r="H149" s="108">
        <f>G149/D149</f>
        <v>1.1734497425565256</v>
      </c>
      <c r="I149" s="108">
        <f>+G149/E149</f>
        <v>1.0257925636007827</v>
      </c>
      <c r="J149" s="5"/>
    </row>
    <row r="150" spans="1:10" ht="12.75">
      <c r="A150" s="89" t="s">
        <v>149</v>
      </c>
      <c r="B150" s="112" t="s">
        <v>150</v>
      </c>
      <c r="C150" s="84" t="s">
        <v>43</v>
      </c>
      <c r="D150" s="114">
        <f>D151+D152+D153+D154+D155</f>
        <v>15255.24</v>
      </c>
      <c r="E150" s="85">
        <f>E151+E152+E153+E154+E155</f>
        <v>12200</v>
      </c>
      <c r="F150" s="85">
        <f>F151+F152+F153+F154+F155</f>
        <v>1132.2400000000002</v>
      </c>
      <c r="G150" s="85">
        <f>G151+G152+G153+G154+G155</f>
        <v>12683</v>
      </c>
      <c r="H150" s="88">
        <f>G150/D150</f>
        <v>0.8313864613077212</v>
      </c>
      <c r="I150" s="88">
        <f>+G150/E150</f>
        <v>1.0395901639344263</v>
      </c>
      <c r="J150" s="27"/>
    </row>
    <row r="151" spans="1:10" ht="12.75">
      <c r="A151" s="83"/>
      <c r="B151" s="115" t="s">
        <v>160</v>
      </c>
      <c r="C151" s="52" t="s">
        <v>82</v>
      </c>
      <c r="D151" s="93">
        <v>6537.3</v>
      </c>
      <c r="E151" s="92">
        <v>5500</v>
      </c>
      <c r="F151" s="92">
        <f>G151-5337.16</f>
        <v>544.8400000000001</v>
      </c>
      <c r="G151" s="103">
        <v>5882</v>
      </c>
      <c r="H151" s="108">
        <f>G151/D151</f>
        <v>0.8997598396891683</v>
      </c>
      <c r="I151" s="108">
        <f>+G151/E151</f>
        <v>1.0694545454545454</v>
      </c>
      <c r="J151" s="5"/>
    </row>
    <row r="152" spans="1:10" ht="12.75">
      <c r="A152" s="83"/>
      <c r="B152" s="50" t="s">
        <v>151</v>
      </c>
      <c r="C152" s="52" t="s">
        <v>82</v>
      </c>
      <c r="D152" s="93">
        <v>4505.94</v>
      </c>
      <c r="E152" s="92">
        <v>4500</v>
      </c>
      <c r="F152" s="92">
        <f>G152-3437.72</f>
        <v>303.2800000000002</v>
      </c>
      <c r="G152" s="96">
        <v>3741</v>
      </c>
      <c r="H152" s="108">
        <f>G152/D152</f>
        <v>0.8302374199390139</v>
      </c>
      <c r="I152" s="108">
        <f>+G152/E152</f>
        <v>0.8313333333333334</v>
      </c>
      <c r="J152" s="5"/>
    </row>
    <row r="153" spans="1:10" ht="12.75">
      <c r="A153" s="83"/>
      <c r="B153" s="50" t="s">
        <v>152</v>
      </c>
      <c r="C153" s="52" t="s">
        <v>82</v>
      </c>
      <c r="D153" s="93"/>
      <c r="E153" s="92"/>
      <c r="F153" s="92">
        <f>G153-20</f>
        <v>0</v>
      </c>
      <c r="G153" s="96">
        <v>20</v>
      </c>
      <c r="H153" s="108"/>
      <c r="I153" s="108"/>
      <c r="J153" s="5"/>
    </row>
    <row r="154" spans="1:10" ht="25.5">
      <c r="A154" s="116"/>
      <c r="B154" s="117" t="s">
        <v>153</v>
      </c>
      <c r="C154" s="52" t="s">
        <v>82</v>
      </c>
      <c r="D154" s="118"/>
      <c r="E154" s="99"/>
      <c r="F154" s="99">
        <f>G154-25</f>
        <v>0</v>
      </c>
      <c r="G154" s="119">
        <v>25</v>
      </c>
      <c r="H154" s="111"/>
      <c r="I154" s="111"/>
      <c r="J154" s="5"/>
    </row>
    <row r="155" spans="1:10" ht="12.75">
      <c r="A155" s="120"/>
      <c r="B155" s="121" t="s">
        <v>154</v>
      </c>
      <c r="C155" s="122" t="s">
        <v>82</v>
      </c>
      <c r="D155" s="123">
        <v>4212</v>
      </c>
      <c r="E155" s="124">
        <v>2200</v>
      </c>
      <c r="F155" s="124">
        <f>G155-2730.88</f>
        <v>284.1199999999999</v>
      </c>
      <c r="G155" s="125">
        <f>3060-G153-G154</f>
        <v>3015</v>
      </c>
      <c r="H155" s="126">
        <f>G155/D155</f>
        <v>0.7158119658119658</v>
      </c>
      <c r="I155" s="126">
        <f>+G155/E155</f>
        <v>1.3704545454545454</v>
      </c>
      <c r="J155" s="5"/>
    </row>
  </sheetData>
  <mergeCells count="12">
    <mergeCell ref="H7:I7"/>
    <mergeCell ref="B9:C9"/>
    <mergeCell ref="A3:I3"/>
    <mergeCell ref="A4:I4"/>
    <mergeCell ref="A5:I5"/>
    <mergeCell ref="A7:A8"/>
    <mergeCell ref="B7:B8"/>
    <mergeCell ref="C7:C8"/>
    <mergeCell ref="D7:D8"/>
    <mergeCell ref="E7:E8"/>
    <mergeCell ref="F7:F8"/>
    <mergeCell ref="G7:G8"/>
  </mergeCells>
  <printOptions/>
  <pageMargins left="0.24027777777777778" right="0.25" top="0.3701388888888889" bottom="0.2201388888888888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2013-11-26T09:27:21Z</cp:lastPrinted>
  <dcterms:created xsi:type="dcterms:W3CDTF">2013-11-18T09:24:22Z</dcterms:created>
  <dcterms:modified xsi:type="dcterms:W3CDTF">2013-12-12T01:55:39Z</dcterms:modified>
  <cp:category/>
  <cp:version/>
  <cp:contentType/>
  <cp:contentStatus/>
</cp:coreProperties>
</file>