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35" windowHeight="8190" activeTab="0"/>
  </bookViews>
  <sheets>
    <sheet name="Sheet1 " sheetId="1" r:id="rId1"/>
    <sheet name="Sheet2" sheetId="2" r:id="rId2"/>
    <sheet name="Sheet3" sheetId="3" r:id="rId3"/>
  </sheets>
  <definedNames>
    <definedName name="_xlnm.Print_Area" localSheetId="0">'Sheet1 '!$A$1:$I$156</definedName>
    <definedName name="_xlnm.Print_Titles" localSheetId="0">'Sheet1 '!$7:$8</definedName>
  </definedNames>
  <calcPr fullCalcOnLoad="1"/>
</workbook>
</file>

<file path=xl/sharedStrings.xml><?xml version="1.0" encoding="utf-8"?>
<sst xmlns="http://schemas.openxmlformats.org/spreadsheetml/2006/main" count="313" uniqueCount="161">
  <si>
    <t>Sở Nông nghiệp và PTNT tỉnh Trà Vinh</t>
  </si>
  <si>
    <t>Mã số</t>
  </si>
  <si>
    <t>Chỉ tiêu</t>
  </si>
  <si>
    <t>ĐVT</t>
  </si>
  <si>
    <t>TH cùng kỳ năm trước</t>
  </si>
  <si>
    <t>% so sánh với</t>
  </si>
  <si>
    <t>Cùng kỳ</t>
  </si>
  <si>
    <t>Kế hoạch</t>
  </si>
  <si>
    <t>A</t>
  </si>
  <si>
    <t>B</t>
  </si>
  <si>
    <t>C</t>
  </si>
  <si>
    <t>4=3/1</t>
  </si>
  <si>
    <t>"</t>
  </si>
  <si>
    <t>I.</t>
  </si>
  <si>
    <t>TRỒNG TRỌT</t>
  </si>
  <si>
    <t>Tổng DT gieo trồng</t>
  </si>
  <si>
    <t>Ha</t>
  </si>
  <si>
    <t>1.1.</t>
  </si>
  <si>
    <t>Cây lúa</t>
  </si>
  <si>
    <t xml:space="preserve"> - DT gieo sạ</t>
  </si>
  <si>
    <t xml:space="preserve"> - Sản lượng</t>
  </si>
  <si>
    <t>tấn</t>
  </si>
  <si>
    <t>ha</t>
  </si>
  <si>
    <t>Tạ/ha</t>
  </si>
  <si>
    <t xml:space="preserve"> - Sản lượng </t>
  </si>
  <si>
    <t>Tấn</t>
  </si>
  <si>
    <t xml:space="preserve"> - Diện tích thu hoạch</t>
  </si>
  <si>
    <t>Cây màu</t>
  </si>
  <si>
    <t>Cây bắp</t>
  </si>
  <si>
    <t xml:space="preserve"> - Diện tích gieo trồng</t>
  </si>
  <si>
    <t>''</t>
  </si>
  <si>
    <t xml:space="preserve"> - Năng suất </t>
  </si>
  <si>
    <t>1.2.</t>
  </si>
  <si>
    <t>Cây có củ</t>
  </si>
  <si>
    <t xml:space="preserve">Khoai lang </t>
  </si>
  <si>
    <t xml:space="preserve"> + Diện tích gieo trồng</t>
  </si>
  <si>
    <t xml:space="preserve"> + Diện tích thu hoạch</t>
  </si>
  <si>
    <t xml:space="preserve"> + Năng suất </t>
  </si>
  <si>
    <t xml:space="preserve"> + Sản lượng </t>
  </si>
  <si>
    <t>Sắn</t>
  </si>
  <si>
    <t xml:space="preserve">Cây có củ khác </t>
  </si>
  <si>
    <t>1.3.</t>
  </si>
  <si>
    <t>Cây thực phẩm</t>
  </si>
  <si>
    <t>Rau các loại</t>
  </si>
  <si>
    <t xml:space="preserve"> + DT gieo trồng </t>
  </si>
  <si>
    <t>Đậu các loại</t>
  </si>
  <si>
    <t>1.4</t>
  </si>
  <si>
    <t>Cây công nghiệp hàng năm</t>
  </si>
  <si>
    <t xml:space="preserve"> </t>
  </si>
  <si>
    <t>Đậu phộng</t>
  </si>
  <si>
    <t>Mía</t>
  </si>
  <si>
    <t xml:space="preserve"> + Diện tích trồng</t>
  </si>
  <si>
    <t>Trong đó: DT trồng mới</t>
  </si>
  <si>
    <t xml:space="preserve"> + Năng suất</t>
  </si>
  <si>
    <t>Cây lác (cói)</t>
  </si>
  <si>
    <t>Cây trồng khác</t>
  </si>
  <si>
    <t xml:space="preserve"> +Cây hàng năm khác</t>
  </si>
  <si>
    <t xml:space="preserve"> +Dây thuốc cá</t>
  </si>
  <si>
    <t>Cây lâu năm</t>
  </si>
  <si>
    <t>II</t>
  </si>
  <si>
    <t>CHĂN NUÔI</t>
  </si>
  <si>
    <t>Triệu con</t>
  </si>
  <si>
    <t>LÂM NGHIỆP</t>
  </si>
  <si>
    <t>1.</t>
  </si>
  <si>
    <t>Lâm sinh</t>
  </si>
  <si>
    <t>DT rừng trồng tập trung</t>
  </si>
  <si>
    <t xml:space="preserve">  Trong đó:</t>
  </si>
  <si>
    <t xml:space="preserve"> - Rừng phòng hộ </t>
  </si>
  <si>
    <t xml:space="preserve"> ''</t>
  </si>
  <si>
    <t xml:space="preserve"> - Rừng đặc dụng</t>
  </si>
  <si>
    <t xml:space="preserve"> - Rừng sản xuất</t>
  </si>
  <si>
    <t xml:space="preserve"> DT trồng lại sau khai thác</t>
  </si>
  <si>
    <t>DT rừng trồng được chăm sóc</t>
  </si>
  <si>
    <t>DT khoanh nuôi tái sinh</t>
  </si>
  <si>
    <t>1.4.</t>
  </si>
  <si>
    <t>DT giao khoán bảo vệ</t>
  </si>
  <si>
    <t>1.5.</t>
  </si>
  <si>
    <t>Số cây lâm nghiệp phân tán</t>
  </si>
  <si>
    <t>1000 cây</t>
  </si>
  <si>
    <t>2.</t>
  </si>
  <si>
    <t>Khai thác</t>
  </si>
  <si>
    <t xml:space="preserve"> - Sản lượng gỗ khai thác</t>
  </si>
  <si>
    <t>DIÊM NGHIỆP</t>
  </si>
  <si>
    <t>D</t>
  </si>
  <si>
    <t>THỦY SẢN</t>
  </si>
  <si>
    <t>Tổng diện tích nuôi</t>
  </si>
  <si>
    <t>Nuôi nước ngọt</t>
  </si>
  <si>
    <t xml:space="preserve"> - Diện tích nuôi cá</t>
  </si>
  <si>
    <t xml:space="preserve">    Trong đó: cá tra, cá ba sa</t>
  </si>
  <si>
    <t xml:space="preserve"> - Diện tích nuôi giáp xác</t>
  </si>
  <si>
    <t xml:space="preserve">    Trong đó: tôm càng xanh</t>
  </si>
  <si>
    <t xml:space="preserve"> - Diện tích nuôi khác</t>
  </si>
  <si>
    <t>Nuôi nước mặn, lợ</t>
  </si>
  <si>
    <t xml:space="preserve">    Trong đó: + cá giò, cá song</t>
  </si>
  <si>
    <t xml:space="preserve">                   + …</t>
  </si>
  <si>
    <t xml:space="preserve"> Trong đó: + Tôm sú</t>
  </si>
  <si>
    <t xml:space="preserve">                + Tôm thẻ chân trắng</t>
  </si>
  <si>
    <t xml:space="preserve">                + Cua biển                   </t>
  </si>
  <si>
    <t xml:space="preserve"> - Diện tích nuôi khác
 (nghêu - sò huyết)</t>
  </si>
  <si>
    <t>Thể tích nuôi lồng, bè</t>
  </si>
  <si>
    <t>- Nuôi cá</t>
  </si>
  <si>
    <t>- Nuôi giáp xác</t>
  </si>
  <si>
    <t>- Nuôi nhuyễn thể</t>
  </si>
  <si>
    <t>3.</t>
  </si>
  <si>
    <t>Sản lượng con giống SX</t>
  </si>
  <si>
    <t>- Cá giống</t>
  </si>
  <si>
    <t>- Tôm giống</t>
  </si>
  <si>
    <t>- Nhuyễn thể giống</t>
  </si>
  <si>
    <t>Tổng sản lượng thủy sản</t>
  </si>
  <si>
    <t>4.1</t>
  </si>
  <si>
    <t>Tổng sản lượng nuôi</t>
  </si>
  <si>
    <t>4.1.1</t>
  </si>
  <si>
    <t xml:space="preserve"> - Sản lượng cá</t>
  </si>
  <si>
    <t xml:space="preserve"> - Sản lượng giáp xác</t>
  </si>
  <si>
    <r>
      <t xml:space="preserve">    Trong đó: tôm càng xanh</t>
    </r>
  </si>
  <si>
    <t xml:space="preserve"> - Sản lượng thủy sản khác</t>
  </si>
  <si>
    <t xml:space="preserve"> - Sản lượng cá nuôi</t>
  </si>
  <si>
    <r>
      <t xml:space="preserve">    Trong đó: Cá giò, cá song</t>
    </r>
  </si>
  <si>
    <t xml:space="preserve">     …</t>
  </si>
  <si>
    <r>
      <t xml:space="preserve">    Trong đó: + Tôm sú</t>
    </r>
  </si>
  <si>
    <t xml:space="preserve">                   + Tôm thẻ chân trắng</t>
  </si>
  <si>
    <t xml:space="preserve">                   + Nuôi cua biển</t>
  </si>
  <si>
    <t xml:space="preserve"> - Sản lượng thủy sản khác
 (nghêu - sò huyết)</t>
  </si>
  <si>
    <t>4.2</t>
  </si>
  <si>
    <t>Tổng sản lượng khai thác</t>
  </si>
  <si>
    <t>Khai thác biển</t>
  </si>
  <si>
    <t xml:space="preserve"> + Sản lượng cá khai thác</t>
  </si>
  <si>
    <t xml:space="preserve"> Trong đó: - Loài ….</t>
  </si>
  <si>
    <t xml:space="preserve"> - …</t>
  </si>
  <si>
    <t xml:space="preserve"> + Sản lượng giáp xác khai thác</t>
  </si>
  <si>
    <t xml:space="preserve"> Trong đó: - Tôm…</t>
  </si>
  <si>
    <t xml:space="preserve"> + SL nhuyễn thể khai thác</t>
  </si>
  <si>
    <t xml:space="preserve"> + SL hải sản khác khai thác</t>
  </si>
  <si>
    <t>4.2.2</t>
  </si>
  <si>
    <t>Khai thác nội địa</t>
  </si>
  <si>
    <t xml:space="preserve">               - Tôm các loại</t>
  </si>
  <si>
    <t xml:space="preserve">               - Nhuyễn thể các loại</t>
  </si>
  <si>
    <t xml:space="preserve">               - Giáp xác các loại 
                  (không kể tôm)</t>
  </si>
  <si>
    <t xml:space="preserve">               - Thủy sản khác</t>
  </si>
  <si>
    <t>BÁO CÁO SẢN XUẤT NÔNG, LÂM, DIÊM NGHIỆP, THUỶ SẢN</t>
  </si>
  <si>
    <t>KH 
vụ/năm
2013</t>
  </si>
  <si>
    <t>SẢN XUẤT NÔNG NGHIỆP</t>
  </si>
  <si>
    <t>Cây hàng năm</t>
  </si>
  <si>
    <t>Diện tích gieo trồng</t>
  </si>
  <si>
    <t>Diện tích thu hoạch</t>
  </si>
  <si>
    <t>4.1.2.</t>
  </si>
  <si>
    <t xml:space="preserve"> - Sản lượng giáp xác nuôi</t>
  </si>
  <si>
    <t>4.2.1.</t>
  </si>
  <si>
    <t xml:space="preserve">  Vụ Hè Thu</t>
  </si>
  <si>
    <t xml:space="preserve">  Vụ Thu Đông-mùa 2013-2014</t>
  </si>
  <si>
    <r>
      <t>m</t>
    </r>
    <r>
      <rPr>
        <vertAlign val="superscript"/>
        <sz val="10"/>
        <rFont val="Times New Roman"/>
        <family val="1"/>
      </rPr>
      <t>3</t>
    </r>
  </si>
  <si>
    <r>
      <t xml:space="preserve"> </t>
    </r>
    <r>
      <rPr>
        <i/>
        <sz val="10"/>
        <rFont val="Times New Roman"/>
        <family val="1"/>
      </rPr>
      <t xml:space="preserve">  Trong đó</t>
    </r>
    <r>
      <rPr>
        <sz val="10"/>
        <rFont val="Times New Roman"/>
        <family val="1"/>
      </rPr>
      <t xml:space="preserve">: Gỗ rừng trồng </t>
    </r>
  </si>
  <si>
    <r>
      <t xml:space="preserve"> </t>
    </r>
    <r>
      <rPr>
        <i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>Trong đó:  cá tra, cá ba sa</t>
    </r>
  </si>
  <si>
    <r>
      <t>Trong đó:</t>
    </r>
    <r>
      <rPr>
        <sz val="10"/>
        <rFont val="Times New Roman"/>
        <family val="1"/>
      </rPr>
      <t>- Cá các loại</t>
    </r>
  </si>
  <si>
    <t xml:space="preserve"> THÁNG 10 NĂM 2013</t>
  </si>
  <si>
    <t>TH 
tháng 10</t>
  </si>
  <si>
    <t>Ước TH 10 tháng</t>
  </si>
  <si>
    <t>1.1</t>
  </si>
  <si>
    <t xml:space="preserve">      Trong đó lúa mùa</t>
  </si>
  <si>
    <t xml:space="preserve"> - DT thu hoạch</t>
  </si>
  <si>
    <t xml:space="preserve"> - Diện tích gieo sạ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</si>
</sst>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#,##0.0"/>
    <numFmt numFmtId="171" formatCode="0.000"/>
    <numFmt numFmtId="172" formatCode="#,##0.000"/>
    <numFmt numFmtId="173" formatCode="0.0%"/>
  </numFmts>
  <fonts count="12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4" fillId="0" borderId="1" xfId="0" applyNumberFormat="1" applyFont="1" applyBorder="1" applyAlignment="1">
      <alignment/>
    </xf>
    <xf numFmtId="165" fontId="4" fillId="0" borderId="1" xfId="15" applyNumberFormat="1" applyFont="1" applyBorder="1" applyAlignment="1">
      <alignment/>
    </xf>
    <xf numFmtId="165" fontId="4" fillId="0" borderId="1" xfId="15" applyNumberFormat="1" applyFont="1" applyBorder="1" applyAlignment="1">
      <alignment vertical="center"/>
    </xf>
    <xf numFmtId="165" fontId="7" fillId="0" borderId="1" xfId="0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0" fontId="8" fillId="0" borderId="1" xfId="19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10" fontId="0" fillId="0" borderId="1" xfId="19" applyNumberFormat="1" applyFont="1" applyBorder="1" applyAlignment="1">
      <alignment horizontal="right"/>
    </xf>
    <xf numFmtId="165" fontId="8" fillId="0" borderId="1" xfId="15" applyNumberFormat="1" applyFont="1" applyBorder="1" applyAlignment="1">
      <alignment horizontal="right" vertical="center"/>
    </xf>
    <xf numFmtId="43" fontId="8" fillId="0" borderId="1" xfId="15" applyNumberFormat="1" applyFont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43" fontId="8" fillId="0" borderId="1" xfId="15" applyFont="1" applyBorder="1" applyAlignment="1">
      <alignment horizontal="center" vertical="center"/>
    </xf>
    <xf numFmtId="43" fontId="8" fillId="0" borderId="1" xfId="15" applyFont="1" applyBorder="1" applyAlignment="1">
      <alignment/>
    </xf>
    <xf numFmtId="43" fontId="8" fillId="0" borderId="1" xfId="15" applyFont="1" applyBorder="1" applyAlignment="1">
      <alignment horizontal="center" vertical="center" wrapText="1"/>
    </xf>
    <xf numFmtId="43" fontId="8" fillId="0" borderId="1" xfId="15" applyFont="1" applyBorder="1" applyAlignment="1">
      <alignment horizontal="center"/>
    </xf>
    <xf numFmtId="165" fontId="8" fillId="0" borderId="1" xfId="15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vertical="center"/>
    </xf>
    <xf numFmtId="10" fontId="0" fillId="0" borderId="1" xfId="19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165" fontId="0" fillId="0" borderId="1" xfId="15" applyNumberFormat="1" applyFont="1" applyBorder="1" applyAlignment="1">
      <alignment horizontal="right"/>
    </xf>
    <xf numFmtId="43" fontId="0" fillId="0" borderId="1" xfId="15" applyNumberFormat="1" applyFont="1" applyBorder="1" applyAlignment="1">
      <alignment horizontal="right" vertical="center"/>
    </xf>
    <xf numFmtId="165" fontId="0" fillId="0" borderId="1" xfId="15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65" fontId="0" fillId="0" borderId="1" xfId="19" applyNumberFormat="1" applyFont="1" applyFill="1" applyBorder="1" applyAlignment="1">
      <alignment/>
    </xf>
    <xf numFmtId="164" fontId="8" fillId="0" borderId="1" xfId="0" applyNumberFormat="1" applyFont="1" applyBorder="1" applyAlignment="1" quotePrefix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 applyAlignment="1" quotePrefix="1">
      <alignment vertical="center"/>
    </xf>
    <xf numFmtId="0" fontId="0" fillId="0" borderId="1" xfId="0" applyFont="1" applyBorder="1" applyAlignment="1" quotePrefix="1">
      <alignment horizontal="center" vertical="center"/>
    </xf>
    <xf numFmtId="165" fontId="0" fillId="0" borderId="1" xfId="15" applyNumberFormat="1" applyFont="1" applyBorder="1" applyAlignment="1">
      <alignment/>
    </xf>
    <xf numFmtId="43" fontId="0" fillId="0" borderId="1" xfId="15" applyFont="1" applyBorder="1" applyAlignment="1">
      <alignment/>
    </xf>
    <xf numFmtId="4" fontId="0" fillId="0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vertical="center"/>
    </xf>
    <xf numFmtId="165" fontId="8" fillId="0" borderId="1" xfId="15" applyNumberFormat="1" applyFont="1" applyBorder="1" applyAlignment="1">
      <alignment vertical="center"/>
    </xf>
    <xf numFmtId="165" fontId="0" fillId="0" borderId="1" xfId="15" applyNumberFormat="1" applyFont="1" applyBorder="1" applyAlignment="1">
      <alignment vertical="center"/>
    </xf>
    <xf numFmtId="165" fontId="9" fillId="0" borderId="1" xfId="15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5" fontId="0" fillId="0" borderId="1" xfId="15" applyNumberFormat="1" applyFont="1" applyBorder="1" applyAlignment="1">
      <alignment vertical="center" wrapText="1"/>
    </xf>
    <xf numFmtId="165" fontId="0" fillId="0" borderId="5" xfId="15" applyNumberFormat="1" applyFont="1" applyBorder="1" applyAlignment="1">
      <alignment vertical="center"/>
    </xf>
    <xf numFmtId="43" fontId="8" fillId="0" borderId="1" xfId="15" applyNumberFormat="1" applyFont="1" applyBorder="1" applyAlignment="1">
      <alignment/>
    </xf>
    <xf numFmtId="43" fontId="0" fillId="0" borderId="1" xfId="15" applyNumberFormat="1" applyFont="1" applyBorder="1" applyAlignment="1">
      <alignment horizontal="right"/>
    </xf>
    <xf numFmtId="165" fontId="0" fillId="0" borderId="1" xfId="15" applyNumberFormat="1" applyFont="1" applyFill="1" applyBorder="1" applyAlignment="1">
      <alignment/>
    </xf>
    <xf numFmtId="43" fontId="0" fillId="0" borderId="1" xfId="15" applyNumberFormat="1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center"/>
    </xf>
    <xf numFmtId="43" fontId="0" fillId="0" borderId="1" xfId="15" applyNumberFormat="1" applyFont="1" applyBorder="1" applyAlignment="1">
      <alignment/>
    </xf>
    <xf numFmtId="43" fontId="8" fillId="0" borderId="1" xfId="15" applyFont="1" applyBorder="1" applyAlignment="1">
      <alignment horizontal="left"/>
    </xf>
    <xf numFmtId="43" fontId="0" fillId="0" borderId="1" xfId="15" applyFont="1" applyBorder="1" applyAlignment="1">
      <alignment horizontal="center"/>
    </xf>
    <xf numFmtId="43" fontId="0" fillId="0" borderId="1" xfId="15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43" fontId="0" fillId="0" borderId="1" xfId="15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/>
    </xf>
    <xf numFmtId="166" fontId="0" fillId="0" borderId="1" xfId="15" applyNumberFormat="1" applyFont="1" applyBorder="1" applyAlignment="1">
      <alignment/>
    </xf>
    <xf numFmtId="164" fontId="8" fillId="0" borderId="1" xfId="0" applyNumberFormat="1" applyFont="1" applyBorder="1" applyAlignment="1" quotePrefix="1">
      <alignment horizontal="center"/>
    </xf>
    <xf numFmtId="0" fontId="1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 quotePrefix="1">
      <alignment horizontal="center"/>
    </xf>
    <xf numFmtId="0" fontId="8" fillId="0" borderId="1" xfId="0" applyFont="1" applyFill="1" applyBorder="1" applyAlignment="1">
      <alignment horizontal="left"/>
    </xf>
    <xf numFmtId="165" fontId="8" fillId="0" borderId="1" xfId="15" applyNumberFormat="1" applyFont="1" applyBorder="1" applyAlignment="1">
      <alignment/>
    </xf>
    <xf numFmtId="165" fontId="8" fillId="0" borderId="1" xfId="0" applyNumberFormat="1" applyFont="1" applyBorder="1" applyAlignment="1">
      <alignment/>
    </xf>
    <xf numFmtId="166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wrapText="1"/>
    </xf>
    <xf numFmtId="43" fontId="0" fillId="0" borderId="1" xfId="0" applyNumberFormat="1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/>
    </xf>
    <xf numFmtId="165" fontId="10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64" fontId="8" fillId="0" borderId="6" xfId="0" applyNumberFormat="1" applyFont="1" applyBorder="1" applyAlignment="1" quotePrefix="1">
      <alignment horizont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165" fontId="0" fillId="0" borderId="6" xfId="15" applyNumberFormat="1" applyFont="1" applyBorder="1" applyAlignment="1">
      <alignment/>
    </xf>
    <xf numFmtId="43" fontId="0" fillId="0" borderId="6" xfId="0" applyNumberFormat="1" applyFont="1" applyBorder="1" applyAlignment="1">
      <alignment/>
    </xf>
    <xf numFmtId="10" fontId="0" fillId="0" borderId="6" xfId="19" applyNumberFormat="1" applyFont="1" applyBorder="1" applyAlignment="1">
      <alignment horizontal="right"/>
    </xf>
    <xf numFmtId="166" fontId="8" fillId="0" borderId="1" xfId="15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5" xfId="15" applyNumberFormat="1" applyFont="1" applyBorder="1" applyAlignment="1">
      <alignment/>
    </xf>
    <xf numFmtId="165" fontId="0" fillId="0" borderId="1" xfId="0" applyNumberFormat="1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vertical="top" wrapText="1"/>
    </xf>
    <xf numFmtId="165" fontId="0" fillId="0" borderId="1" xfId="15" applyNumberFormat="1" applyFont="1" applyFill="1" applyBorder="1" applyAlignment="1">
      <alignment horizontal="right" vertical="center"/>
    </xf>
    <xf numFmtId="165" fontId="0" fillId="0" borderId="5" xfId="15" applyNumberFormat="1" applyFont="1" applyBorder="1" applyAlignment="1">
      <alignment vertical="center" wrapText="1"/>
    </xf>
    <xf numFmtId="43" fontId="0" fillId="0" borderId="1" xfId="15" applyNumberFormat="1" applyFont="1" applyFill="1" applyBorder="1" applyAlignment="1">
      <alignment/>
    </xf>
    <xf numFmtId="43" fontId="0" fillId="0" borderId="1" xfId="15" applyNumberFormat="1" applyFont="1" applyBorder="1" applyAlignment="1">
      <alignment vertical="center"/>
    </xf>
    <xf numFmtId="166" fontId="0" fillId="0" borderId="1" xfId="0" applyNumberFormat="1" applyFont="1" applyBorder="1" applyAlignment="1">
      <alignment vertical="center"/>
    </xf>
    <xf numFmtId="166" fontId="0" fillId="0" borderId="1" xfId="15" applyNumberFormat="1" applyFont="1" applyBorder="1" applyAlignment="1">
      <alignment vertical="center"/>
    </xf>
    <xf numFmtId="166" fontId="0" fillId="0" borderId="6" xfId="15" applyNumberFormat="1" applyFont="1" applyBorder="1" applyAlignment="1">
      <alignment/>
    </xf>
    <xf numFmtId="164" fontId="0" fillId="0" borderId="7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workbookViewId="0" topLeftCell="A130">
      <selection activeCell="K130" sqref="K130"/>
    </sheetView>
  </sheetViews>
  <sheetFormatPr defaultColWidth="9.33203125" defaultRowHeight="12.75"/>
  <cols>
    <col min="1" max="1" width="5.5" style="0" customWidth="1"/>
    <col min="2" max="2" width="29.83203125" style="0" customWidth="1"/>
    <col min="3" max="3" width="8.83203125" style="0" customWidth="1"/>
    <col min="4" max="4" width="10.5" style="0" customWidth="1"/>
    <col min="5" max="5" width="11.83203125" style="0" customWidth="1"/>
    <col min="6" max="6" width="10.83203125" style="0" customWidth="1"/>
    <col min="7" max="7" width="12" style="0" customWidth="1"/>
    <col min="8" max="8" width="10" style="0" customWidth="1"/>
    <col min="9" max="9" width="11" style="0" customWidth="1"/>
    <col min="10" max="10" width="12.33203125" style="0" customWidth="1"/>
    <col min="11" max="11" width="9.16015625" style="0" customWidth="1"/>
    <col min="12" max="12" width="13.66015625" style="0" bestFit="1" customWidth="1"/>
    <col min="13" max="13" width="13.16015625" style="0" customWidth="1"/>
  </cols>
  <sheetData>
    <row r="1" spans="1:11" ht="15.75">
      <c r="A1" s="1" t="s">
        <v>0</v>
      </c>
      <c r="B1" s="2"/>
      <c r="C1" s="3"/>
      <c r="D1" s="4"/>
      <c r="E1" s="5"/>
      <c r="F1" s="5"/>
      <c r="G1" s="4"/>
      <c r="H1" s="4"/>
      <c r="I1" s="4"/>
      <c r="J1" s="4"/>
      <c r="K1" s="4"/>
    </row>
    <row r="2" spans="1:11" ht="15.75">
      <c r="A2" s="6"/>
      <c r="B2" s="2"/>
      <c r="C2" s="7"/>
      <c r="D2" s="4"/>
      <c r="E2" s="5"/>
      <c r="F2" s="5"/>
      <c r="G2" s="4"/>
      <c r="H2" s="4"/>
      <c r="I2" s="4"/>
      <c r="J2" s="4"/>
      <c r="K2" s="4"/>
    </row>
    <row r="3" spans="1:11" ht="16.5">
      <c r="A3" s="125" t="s">
        <v>139</v>
      </c>
      <c r="B3" s="125"/>
      <c r="C3" s="125"/>
      <c r="D3" s="125"/>
      <c r="E3" s="125"/>
      <c r="F3" s="125"/>
      <c r="G3" s="125"/>
      <c r="H3" s="125"/>
      <c r="I3" s="125"/>
      <c r="J3" s="13"/>
      <c r="K3" s="13"/>
    </row>
    <row r="4" spans="1:11" ht="15.75">
      <c r="A4" s="126" t="s">
        <v>154</v>
      </c>
      <c r="B4" s="126"/>
      <c r="C4" s="126"/>
      <c r="D4" s="126"/>
      <c r="E4" s="126"/>
      <c r="F4" s="126"/>
      <c r="G4" s="126"/>
      <c r="H4" s="126"/>
      <c r="I4" s="126"/>
      <c r="J4" s="14"/>
      <c r="K4" s="14"/>
    </row>
    <row r="5" spans="1:11" ht="15.75">
      <c r="A5" s="127"/>
      <c r="B5" s="127"/>
      <c r="C5" s="127"/>
      <c r="D5" s="127"/>
      <c r="E5" s="127"/>
      <c r="F5" s="127"/>
      <c r="G5" s="127"/>
      <c r="H5" s="127"/>
      <c r="I5" s="127"/>
      <c r="J5" s="4"/>
      <c r="K5" s="4"/>
    </row>
    <row r="7" spans="1:10" ht="15" customHeight="1">
      <c r="A7" s="128" t="s">
        <v>1</v>
      </c>
      <c r="B7" s="121" t="s">
        <v>2</v>
      </c>
      <c r="C7" s="119" t="s">
        <v>3</v>
      </c>
      <c r="D7" s="119" t="s">
        <v>4</v>
      </c>
      <c r="E7" s="119" t="s">
        <v>140</v>
      </c>
      <c r="F7" s="119" t="s">
        <v>155</v>
      </c>
      <c r="G7" s="119" t="s">
        <v>156</v>
      </c>
      <c r="H7" s="123" t="s">
        <v>5</v>
      </c>
      <c r="I7" s="124"/>
      <c r="J7" s="5"/>
    </row>
    <row r="8" spans="1:10" ht="29.25" customHeight="1">
      <c r="A8" s="129"/>
      <c r="B8" s="122"/>
      <c r="C8" s="120"/>
      <c r="D8" s="120"/>
      <c r="E8" s="120"/>
      <c r="F8" s="120"/>
      <c r="G8" s="120"/>
      <c r="H8" s="16" t="s">
        <v>6</v>
      </c>
      <c r="I8" s="15" t="s">
        <v>7</v>
      </c>
      <c r="J8" s="5"/>
    </row>
    <row r="9" spans="1:10" ht="12.75">
      <c r="A9" s="17" t="s">
        <v>8</v>
      </c>
      <c r="B9" s="117" t="s">
        <v>9</v>
      </c>
      <c r="C9" s="118"/>
      <c r="D9" s="15" t="s">
        <v>10</v>
      </c>
      <c r="E9" s="18">
        <v>1</v>
      </c>
      <c r="F9" s="18"/>
      <c r="G9" s="16"/>
      <c r="H9" s="16">
        <v>3</v>
      </c>
      <c r="I9" s="16" t="s">
        <v>11</v>
      </c>
      <c r="J9" s="5"/>
    </row>
    <row r="10" spans="1:10" ht="12.75">
      <c r="A10" s="26" t="s">
        <v>8</v>
      </c>
      <c r="B10" s="27" t="s">
        <v>141</v>
      </c>
      <c r="C10" s="28"/>
      <c r="D10" s="29"/>
      <c r="E10" s="30"/>
      <c r="F10" s="30"/>
      <c r="G10" s="29"/>
      <c r="H10" s="20"/>
      <c r="I10" s="20"/>
      <c r="J10" s="5"/>
    </row>
    <row r="11" spans="1:10" ht="12.75">
      <c r="A11" s="26" t="s">
        <v>13</v>
      </c>
      <c r="B11" s="27" t="s">
        <v>14</v>
      </c>
      <c r="C11" s="31"/>
      <c r="D11" s="32"/>
      <c r="E11" s="32"/>
      <c r="F11" s="32"/>
      <c r="G11" s="32"/>
      <c r="H11" s="20"/>
      <c r="I11" s="20"/>
      <c r="J11" s="5"/>
    </row>
    <row r="12" spans="1:10" ht="12.75">
      <c r="A12" s="33">
        <v>1</v>
      </c>
      <c r="B12" s="27" t="s">
        <v>142</v>
      </c>
      <c r="C12" s="31"/>
      <c r="D12" s="32"/>
      <c r="E12" s="32"/>
      <c r="F12" s="32"/>
      <c r="G12" s="32"/>
      <c r="H12" s="20"/>
      <c r="I12" s="20"/>
      <c r="J12" s="5"/>
    </row>
    <row r="13" spans="1:10" ht="12.75">
      <c r="A13" s="26"/>
      <c r="B13" s="27" t="s">
        <v>15</v>
      </c>
      <c r="C13" s="19" t="s">
        <v>16</v>
      </c>
      <c r="D13" s="32">
        <f>+D14+D27</f>
        <v>218980</v>
      </c>
      <c r="E13" s="32">
        <f>+E14+E27</f>
        <v>226080</v>
      </c>
      <c r="F13" s="32">
        <f>+F14+F27</f>
        <v>26602.76</v>
      </c>
      <c r="G13" s="32">
        <f>+G14+G27</f>
        <v>218664.76</v>
      </c>
      <c r="H13" s="20">
        <f>G13/D13</f>
        <v>0.9985604164763906</v>
      </c>
      <c r="I13" s="20">
        <f>+G13/E13</f>
        <v>0.967200813871196</v>
      </c>
      <c r="J13" s="106"/>
    </row>
    <row r="14" spans="1:10" ht="12.75">
      <c r="A14" s="36" t="s">
        <v>157</v>
      </c>
      <c r="B14" s="27" t="s">
        <v>18</v>
      </c>
      <c r="C14" s="19"/>
      <c r="D14" s="37">
        <f>+D17+D21</f>
        <v>168546</v>
      </c>
      <c r="E14" s="37">
        <f>+E17+E21</f>
        <v>170500</v>
      </c>
      <c r="F14" s="37">
        <f>+F17+F21</f>
        <v>23464</v>
      </c>
      <c r="G14" s="37">
        <f>+G17+G21</f>
        <v>168580</v>
      </c>
      <c r="H14" s="20">
        <f>G14/D14</f>
        <v>1.0002017253450097</v>
      </c>
      <c r="I14" s="20">
        <f>+G14/E14</f>
        <v>0.9887390029325513</v>
      </c>
      <c r="J14" s="5"/>
    </row>
    <row r="15" spans="1:10" ht="12.75">
      <c r="A15" s="36"/>
      <c r="B15" s="44" t="s">
        <v>148</v>
      </c>
      <c r="C15" s="21"/>
      <c r="D15" s="43"/>
      <c r="E15" s="45"/>
      <c r="F15" s="45"/>
      <c r="G15" s="42"/>
      <c r="H15" s="20"/>
      <c r="I15" s="20"/>
      <c r="J15" s="5"/>
    </row>
    <row r="16" spans="1:10" ht="12.75">
      <c r="A16" s="36"/>
      <c r="B16" s="38" t="s">
        <v>160</v>
      </c>
      <c r="C16" s="21" t="s">
        <v>22</v>
      </c>
      <c r="D16" s="43">
        <f>+D17</f>
        <v>80200</v>
      </c>
      <c r="E16" s="43">
        <f>+E17</f>
        <v>81000</v>
      </c>
      <c r="F16" s="43"/>
      <c r="G16" s="43">
        <f>+G17</f>
        <v>80657</v>
      </c>
      <c r="H16" s="23">
        <f>G16/D16</f>
        <v>1.0056982543640898</v>
      </c>
      <c r="I16" s="23">
        <f>+G16/E16</f>
        <v>0.9957654320987654</v>
      </c>
      <c r="J16" s="5"/>
    </row>
    <row r="17" spans="1:10" ht="12.75">
      <c r="A17" s="36"/>
      <c r="B17" s="38" t="s">
        <v>26</v>
      </c>
      <c r="C17" s="21" t="s">
        <v>22</v>
      </c>
      <c r="D17" s="43">
        <v>80200</v>
      </c>
      <c r="E17" s="46">
        <v>81000</v>
      </c>
      <c r="F17" s="46">
        <f>+G17-75975</f>
        <v>4682</v>
      </c>
      <c r="G17" s="43">
        <v>80657</v>
      </c>
      <c r="H17" s="23">
        <f>G17/D17</f>
        <v>1.0056982543640898</v>
      </c>
      <c r="I17" s="23">
        <f>+G17/E17</f>
        <v>0.9957654320987654</v>
      </c>
      <c r="J17" s="5"/>
    </row>
    <row r="18" spans="1:10" ht="12.75">
      <c r="A18" s="36"/>
      <c r="B18" s="38" t="s">
        <v>31</v>
      </c>
      <c r="C18" s="19" t="s">
        <v>23</v>
      </c>
      <c r="D18" s="42">
        <f>+D19/D17*10</f>
        <v>54.219825436408975</v>
      </c>
      <c r="E18" s="42">
        <f>+E19/E17*10</f>
        <v>54.3</v>
      </c>
      <c r="F18" s="42">
        <f>+F19/F17*10</f>
        <v>33.047842802221275</v>
      </c>
      <c r="G18" s="42">
        <f>+G19/G17*10</f>
        <v>51.84187361295362</v>
      </c>
      <c r="H18" s="23">
        <f>G18/D18</f>
        <v>0.9561423924862262</v>
      </c>
      <c r="I18" s="23">
        <f>+G18/E18</f>
        <v>0.9547306374392932</v>
      </c>
      <c r="J18" s="5"/>
    </row>
    <row r="19" spans="1:10" ht="12.75">
      <c r="A19" s="36"/>
      <c r="B19" s="38" t="s">
        <v>20</v>
      </c>
      <c r="C19" s="21" t="s">
        <v>21</v>
      </c>
      <c r="D19" s="43">
        <v>434843</v>
      </c>
      <c r="E19" s="43">
        <v>439830</v>
      </c>
      <c r="F19" s="43">
        <f>+G19-402668</f>
        <v>15473</v>
      </c>
      <c r="G19" s="43">
        <v>418141</v>
      </c>
      <c r="H19" s="23">
        <f>G19/D19</f>
        <v>0.961590735046902</v>
      </c>
      <c r="I19" s="23">
        <f>+G19/E19</f>
        <v>0.9506877657276676</v>
      </c>
      <c r="J19" s="106"/>
    </row>
    <row r="20" spans="1:10" ht="12.75">
      <c r="A20" s="36"/>
      <c r="B20" s="39" t="s">
        <v>149</v>
      </c>
      <c r="C20" s="40"/>
      <c r="D20" s="43"/>
      <c r="E20" s="43"/>
      <c r="F20" s="43"/>
      <c r="G20" s="43"/>
      <c r="H20" s="23"/>
      <c r="I20" s="23"/>
      <c r="J20" s="5"/>
    </row>
    <row r="21" spans="1:10" ht="12.75">
      <c r="A21" s="36"/>
      <c r="B21" s="38" t="s">
        <v>19</v>
      </c>
      <c r="C21" s="21" t="s">
        <v>16</v>
      </c>
      <c r="D21" s="43">
        <v>88346</v>
      </c>
      <c r="E21" s="43">
        <v>89500</v>
      </c>
      <c r="F21" s="43">
        <f>+G21-69141</f>
        <v>18782</v>
      </c>
      <c r="G21" s="43">
        <v>87923</v>
      </c>
      <c r="H21" s="23">
        <f>G21/D21</f>
        <v>0.9952120073347973</v>
      </c>
      <c r="I21" s="23">
        <f>+G21/E21</f>
        <v>0.9823798882681565</v>
      </c>
      <c r="J21" s="106"/>
    </row>
    <row r="22" spans="1:10" ht="12.75">
      <c r="A22" s="36"/>
      <c r="B22" s="38" t="s">
        <v>158</v>
      </c>
      <c r="C22" s="21" t="s">
        <v>16</v>
      </c>
      <c r="D22" s="43">
        <v>3211</v>
      </c>
      <c r="E22" s="43"/>
      <c r="F22" s="43">
        <f>+G22-224</f>
        <v>2159</v>
      </c>
      <c r="G22" s="43">
        <v>2383</v>
      </c>
      <c r="H22" s="23">
        <f>G22/D22</f>
        <v>0.7421364061040174</v>
      </c>
      <c r="I22" s="23"/>
      <c r="J22" s="106"/>
    </row>
    <row r="23" spans="1:10" ht="12.75">
      <c r="A23" s="36"/>
      <c r="B23" s="38" t="s">
        <v>159</v>
      </c>
      <c r="C23" s="21" t="s">
        <v>16</v>
      </c>
      <c r="D23" s="43">
        <v>10665</v>
      </c>
      <c r="E23" s="43">
        <f>+E21</f>
        <v>89500</v>
      </c>
      <c r="F23" s="43">
        <f>+G23-470</f>
        <v>8390</v>
      </c>
      <c r="G23" s="43">
        <v>8860</v>
      </c>
      <c r="H23" s="23">
        <f>G23/D23</f>
        <v>0.8307548054383498</v>
      </c>
      <c r="I23" s="23">
        <f>+G23/E23</f>
        <v>0.09899441340782122</v>
      </c>
      <c r="J23" s="106"/>
    </row>
    <row r="24" spans="1:10" ht="12.75">
      <c r="A24" s="36"/>
      <c r="B24" s="38" t="s">
        <v>31</v>
      </c>
      <c r="C24" s="19" t="s">
        <v>23</v>
      </c>
      <c r="D24" s="42">
        <f>+D25/D23*10</f>
        <v>52.70042194092827</v>
      </c>
      <c r="E24" s="42">
        <f>+E25/E21*10</f>
        <v>54.06737430167598</v>
      </c>
      <c r="F24" s="42">
        <f>+F25/F23*10</f>
        <v>52.463647199046484</v>
      </c>
      <c r="G24" s="42">
        <f>+G25/G23*10</f>
        <v>52.63205417607224</v>
      </c>
      <c r="H24" s="23">
        <f>G24/D24</f>
        <v>0.9987027093458062</v>
      </c>
      <c r="I24" s="23">
        <f>+G24/E24</f>
        <v>0.9734531194802398</v>
      </c>
      <c r="J24" s="5"/>
    </row>
    <row r="25" spans="1:10" ht="12.75">
      <c r="A25" s="36"/>
      <c r="B25" s="38" t="s">
        <v>20</v>
      </c>
      <c r="C25" s="21" t="s">
        <v>21</v>
      </c>
      <c r="D25" s="43">
        <v>56205</v>
      </c>
      <c r="E25" s="43">
        <v>483903</v>
      </c>
      <c r="F25" s="43">
        <f>+G25-2615</f>
        <v>44017</v>
      </c>
      <c r="G25" s="43">
        <v>46632</v>
      </c>
      <c r="H25" s="23">
        <f>G25/D25</f>
        <v>0.829677074993328</v>
      </c>
      <c r="I25" s="23">
        <f>+G25/E25</f>
        <v>0.09636642054296006</v>
      </c>
      <c r="J25" s="5"/>
    </row>
    <row r="26" spans="1:10" ht="12.75">
      <c r="A26" s="47"/>
      <c r="B26" s="48" t="s">
        <v>27</v>
      </c>
      <c r="C26" s="19"/>
      <c r="D26" s="43"/>
      <c r="E26" s="24"/>
      <c r="F26" s="24"/>
      <c r="G26" s="25"/>
      <c r="H26" s="20"/>
      <c r="I26" s="20"/>
      <c r="J26" s="5"/>
    </row>
    <row r="27" spans="1:10" ht="12.75">
      <c r="A27" s="47"/>
      <c r="B27" s="48" t="s">
        <v>143</v>
      </c>
      <c r="C27" s="19" t="s">
        <v>16</v>
      </c>
      <c r="D27" s="24">
        <f>+D30+D34+D48+D59</f>
        <v>50434</v>
      </c>
      <c r="E27" s="24">
        <f>+E30+E34+E48+E59</f>
        <v>55580</v>
      </c>
      <c r="F27" s="24">
        <f>+F30+F34+F48+F59</f>
        <v>3138.7599999999984</v>
      </c>
      <c r="G27" s="24">
        <f>+G30+G34+G48+G59</f>
        <v>50084.76</v>
      </c>
      <c r="H27" s="20">
        <f>G27/D27</f>
        <v>0.9930753063409605</v>
      </c>
      <c r="I27" s="20">
        <f>+G27/E27</f>
        <v>0.9011291831594099</v>
      </c>
      <c r="J27" s="106"/>
    </row>
    <row r="28" spans="1:10" ht="12.75">
      <c r="A28" s="47"/>
      <c r="B28" s="48" t="s">
        <v>144</v>
      </c>
      <c r="C28" s="19" t="s">
        <v>16</v>
      </c>
      <c r="D28" s="24">
        <f>+D31+D37+D42+D47+D51+D56+D62+D68+D73+D78</f>
        <v>41828</v>
      </c>
      <c r="E28" s="24">
        <f>+E31+E37+E42+E47+E51+E56+E62+E68+E73+E78</f>
        <v>53780</v>
      </c>
      <c r="F28" s="24">
        <f>+F31+F37+F42+F47+F51+F56+F62+F68+F73+F78</f>
        <v>2884.4399999999996</v>
      </c>
      <c r="G28" s="24">
        <f>+G31+G37+G42+G47+G51+G56+G62+G68+G73+G78</f>
        <v>39682.8</v>
      </c>
      <c r="H28" s="20">
        <f>G28/D28</f>
        <v>0.9487137802428995</v>
      </c>
      <c r="I28" s="20">
        <f>+G28/E28</f>
        <v>0.7378728151729268</v>
      </c>
      <c r="J28" s="5"/>
    </row>
    <row r="29" spans="1:10" ht="12.75">
      <c r="A29" s="47"/>
      <c r="B29" s="27" t="s">
        <v>28</v>
      </c>
      <c r="C29" s="19"/>
      <c r="D29" s="31"/>
      <c r="E29" s="31"/>
      <c r="F29" s="31"/>
      <c r="G29" s="31"/>
      <c r="H29" s="20"/>
      <c r="I29" s="20"/>
      <c r="J29" s="5"/>
    </row>
    <row r="30" spans="1:10" ht="12.75">
      <c r="A30" s="47"/>
      <c r="B30" s="49" t="s">
        <v>29</v>
      </c>
      <c r="C30" s="19" t="s">
        <v>16</v>
      </c>
      <c r="D30" s="41">
        <v>4907</v>
      </c>
      <c r="E30" s="41">
        <v>5800</v>
      </c>
      <c r="F30" s="41">
        <f>+G30-4211</f>
        <v>360.1999999999998</v>
      </c>
      <c r="G30" s="41">
        <v>4571.2</v>
      </c>
      <c r="H30" s="23">
        <f>G30/D30</f>
        <v>0.9315671489708579</v>
      </c>
      <c r="I30" s="23">
        <f>+G30/E30</f>
        <v>0.7881379310344827</v>
      </c>
      <c r="J30" s="5"/>
    </row>
    <row r="31" spans="1:10" ht="12.75">
      <c r="A31" s="47"/>
      <c r="B31" s="49" t="s">
        <v>26</v>
      </c>
      <c r="C31" s="50" t="s">
        <v>30</v>
      </c>
      <c r="D31" s="51">
        <v>3953</v>
      </c>
      <c r="E31" s="51">
        <f>+E30</f>
        <v>5800</v>
      </c>
      <c r="F31" s="107">
        <f>+G31-3570.11</f>
        <v>181.88999999999987</v>
      </c>
      <c r="G31" s="108">
        <v>3752</v>
      </c>
      <c r="H31" s="23">
        <f>G31/D31</f>
        <v>0.9491525423728814</v>
      </c>
      <c r="I31" s="23">
        <f>+G31/E31</f>
        <v>0.646896551724138</v>
      </c>
      <c r="J31" s="5"/>
    </row>
    <row r="32" spans="1:10" ht="12.75">
      <c r="A32" s="47"/>
      <c r="B32" s="49" t="s">
        <v>31</v>
      </c>
      <c r="C32" s="19" t="s">
        <v>23</v>
      </c>
      <c r="D32" s="52">
        <f>+D33/D31*10</f>
        <v>52.31469769795092</v>
      </c>
      <c r="E32" s="52">
        <f>+E33/E31*10</f>
        <v>38.793103448275865</v>
      </c>
      <c r="F32" s="53">
        <f>+(F33/F31)*10</f>
        <v>47.789323217329276</v>
      </c>
      <c r="G32" s="53">
        <f>+(G33/G31)*10</f>
        <v>53.7</v>
      </c>
      <c r="H32" s="23">
        <f>G32/D32</f>
        <v>1.0264801740812382</v>
      </c>
      <c r="I32" s="23">
        <f>+G32/E32</f>
        <v>1.3842666666666665</v>
      </c>
      <c r="J32" s="5"/>
    </row>
    <row r="33" spans="1:10" ht="12.75">
      <c r="A33" s="47"/>
      <c r="B33" s="54" t="s">
        <v>24</v>
      </c>
      <c r="C33" s="19" t="s">
        <v>25</v>
      </c>
      <c r="D33" s="51">
        <v>20680</v>
      </c>
      <c r="E33" s="51">
        <v>22500</v>
      </c>
      <c r="F33" s="107">
        <f>+G33-19279</f>
        <v>869.2400000000016</v>
      </c>
      <c r="G33" s="109">
        <v>20148.24</v>
      </c>
      <c r="H33" s="23">
        <f>G33/D33</f>
        <v>0.9742862669245649</v>
      </c>
      <c r="I33" s="23">
        <f>+G33/E33</f>
        <v>0.8954773333333335</v>
      </c>
      <c r="J33" s="5"/>
    </row>
    <row r="34" spans="1:10" ht="12.75">
      <c r="A34" s="47" t="s">
        <v>32</v>
      </c>
      <c r="B34" s="27" t="s">
        <v>33</v>
      </c>
      <c r="C34" s="55" t="s">
        <v>16</v>
      </c>
      <c r="D34" s="56">
        <f>+D36+D41+D46</f>
        <v>3204</v>
      </c>
      <c r="E34" s="56">
        <f>+E36+E41+E46</f>
        <v>3650</v>
      </c>
      <c r="F34" s="56">
        <f>+F36+F41+F46</f>
        <v>259.2499999999999</v>
      </c>
      <c r="G34" s="56">
        <f>+G36+G41+G46</f>
        <v>2841.2499999999995</v>
      </c>
      <c r="H34" s="20">
        <f>G34/D34</f>
        <v>0.886782147315855</v>
      </c>
      <c r="I34" s="20">
        <f>+G34/E34</f>
        <v>0.7784246575342465</v>
      </c>
      <c r="J34" s="5"/>
    </row>
    <row r="35" spans="1:10" ht="13.5">
      <c r="A35" s="47"/>
      <c r="B35" s="27" t="s">
        <v>34</v>
      </c>
      <c r="C35" s="19"/>
      <c r="D35" s="57"/>
      <c r="E35" s="57"/>
      <c r="F35" s="57"/>
      <c r="G35" s="58"/>
      <c r="H35" s="20"/>
      <c r="I35" s="20"/>
      <c r="J35" s="5"/>
    </row>
    <row r="36" spans="1:10" ht="12.75">
      <c r="A36" s="47"/>
      <c r="B36" s="49" t="s">
        <v>35</v>
      </c>
      <c r="C36" s="19" t="s">
        <v>16</v>
      </c>
      <c r="D36" s="41">
        <v>1596</v>
      </c>
      <c r="E36" s="41">
        <v>1850</v>
      </c>
      <c r="F36" s="41">
        <f>+G36-1202</f>
        <v>108.34999999999991</v>
      </c>
      <c r="G36" s="110">
        <v>1310.35</v>
      </c>
      <c r="H36" s="23">
        <f>G36/D36</f>
        <v>0.8210213032581453</v>
      </c>
      <c r="I36" s="23">
        <f>+G36/E36</f>
        <v>0.7082972972972973</v>
      </c>
      <c r="J36" s="5"/>
    </row>
    <row r="37" spans="1:10" ht="12.75">
      <c r="A37" s="47"/>
      <c r="B37" s="49" t="s">
        <v>36</v>
      </c>
      <c r="C37" s="50" t="s">
        <v>30</v>
      </c>
      <c r="D37" s="51">
        <v>1137</v>
      </c>
      <c r="E37" s="51">
        <f>+E36</f>
        <v>1850</v>
      </c>
      <c r="F37" s="107">
        <f>+G37-982.32</f>
        <v>89.67999999999995</v>
      </c>
      <c r="G37" s="108">
        <v>1072</v>
      </c>
      <c r="H37" s="23">
        <f>G37/D37</f>
        <v>0.9428320140721196</v>
      </c>
      <c r="I37" s="23">
        <f>+G37/E37</f>
        <v>0.5794594594594594</v>
      </c>
      <c r="J37" s="5"/>
    </row>
    <row r="38" spans="1:10" ht="12.75">
      <c r="A38" s="47"/>
      <c r="B38" s="49" t="s">
        <v>37</v>
      </c>
      <c r="C38" s="19" t="s">
        <v>23</v>
      </c>
      <c r="D38" s="52">
        <f>+D39/D37*10</f>
        <v>141.8645558487247</v>
      </c>
      <c r="E38" s="52">
        <f>+E39/E37*10</f>
        <v>148.7027027027027</v>
      </c>
      <c r="F38" s="52">
        <f>+F39/F37*10</f>
        <v>163.80463871543273</v>
      </c>
      <c r="G38" s="53">
        <f>+(G39/G37)*10</f>
        <v>167.0988805970149</v>
      </c>
      <c r="H38" s="23">
        <f>G38/D38</f>
        <v>1.1778761763100183</v>
      </c>
      <c r="I38" s="23">
        <f>+G38/E38</f>
        <v>1.1237111199726555</v>
      </c>
      <c r="J38" s="5"/>
    </row>
    <row r="39" spans="1:10" ht="12.75">
      <c r="A39" s="47"/>
      <c r="B39" s="59" t="s">
        <v>38</v>
      </c>
      <c r="C39" s="19" t="s">
        <v>25</v>
      </c>
      <c r="D39" s="60">
        <v>16130</v>
      </c>
      <c r="E39" s="60">
        <v>27510</v>
      </c>
      <c r="F39" s="111">
        <f>+G39-16444</f>
        <v>1469</v>
      </c>
      <c r="G39" s="109">
        <v>17913</v>
      </c>
      <c r="H39" s="23">
        <f>G39/D39</f>
        <v>1.1105393676379418</v>
      </c>
      <c r="I39" s="23">
        <f>+G39/E39</f>
        <v>0.6511450381679389</v>
      </c>
      <c r="J39" s="5"/>
    </row>
    <row r="40" spans="1:10" ht="12.75">
      <c r="A40" s="47"/>
      <c r="B40" s="27" t="s">
        <v>39</v>
      </c>
      <c r="C40" s="19"/>
      <c r="D40" s="57"/>
      <c r="E40" s="57"/>
      <c r="F40" s="57"/>
      <c r="G40" s="42"/>
      <c r="H40" s="20"/>
      <c r="I40" s="20"/>
      <c r="J40" s="5"/>
    </row>
    <row r="41" spans="1:10" ht="12.75">
      <c r="A41" s="47"/>
      <c r="B41" s="49" t="s">
        <v>35</v>
      </c>
      <c r="C41" s="19" t="s">
        <v>16</v>
      </c>
      <c r="D41" s="41">
        <v>933</v>
      </c>
      <c r="E41" s="41">
        <v>1100</v>
      </c>
      <c r="F41" s="41">
        <f>+G41-866</f>
        <v>91.29999999999995</v>
      </c>
      <c r="G41" s="110">
        <v>957.3</v>
      </c>
      <c r="H41" s="23">
        <f>G41/D41</f>
        <v>1.0260450160771704</v>
      </c>
      <c r="I41" s="23">
        <f>+G41/E41</f>
        <v>0.8702727272727272</v>
      </c>
      <c r="J41" s="5"/>
    </row>
    <row r="42" spans="1:10" ht="12.75">
      <c r="A42" s="47"/>
      <c r="B42" s="49" t="s">
        <v>36</v>
      </c>
      <c r="C42" s="50" t="s">
        <v>30</v>
      </c>
      <c r="D42" s="51">
        <v>722</v>
      </c>
      <c r="E42" s="51">
        <f>+E41</f>
        <v>1100</v>
      </c>
      <c r="F42" s="107">
        <f>+G42-512.41</f>
        <v>160.59000000000003</v>
      </c>
      <c r="G42" s="109">
        <v>673</v>
      </c>
      <c r="H42" s="23">
        <f>G42/D42</f>
        <v>0.9321329639889196</v>
      </c>
      <c r="I42" s="23">
        <f>+G42/E42</f>
        <v>0.6118181818181818</v>
      </c>
      <c r="J42" s="5"/>
    </row>
    <row r="43" spans="1:10" ht="12.75">
      <c r="A43" s="47"/>
      <c r="B43" s="49" t="s">
        <v>37</v>
      </c>
      <c r="C43" s="19" t="s">
        <v>23</v>
      </c>
      <c r="D43" s="52">
        <f>+D44/D42*10</f>
        <v>135.70637119113573</v>
      </c>
      <c r="E43" s="52">
        <f>+E44/E42*10</f>
        <v>138</v>
      </c>
      <c r="F43" s="52">
        <f>+F44/F42*10</f>
        <v>151.00566660439625</v>
      </c>
      <c r="G43" s="53">
        <f>+(G44/G42)*10</f>
        <v>154.20505200594354</v>
      </c>
      <c r="H43" s="23">
        <f>G43/D43</f>
        <v>1.1363140186598413</v>
      </c>
      <c r="I43" s="23">
        <f>+G43/E43</f>
        <v>1.1174279130865474</v>
      </c>
      <c r="J43" s="5"/>
    </row>
    <row r="44" spans="1:10" ht="12.75">
      <c r="A44" s="47"/>
      <c r="B44" s="59" t="s">
        <v>38</v>
      </c>
      <c r="C44" s="19" t="s">
        <v>25</v>
      </c>
      <c r="D44" s="57">
        <v>9798</v>
      </c>
      <c r="E44" s="57">
        <v>15180</v>
      </c>
      <c r="F44" s="61">
        <f>+G44-7953</f>
        <v>2425</v>
      </c>
      <c r="G44" s="109">
        <v>10378</v>
      </c>
      <c r="H44" s="23">
        <f>G44/D44</f>
        <v>1.0591957542355583</v>
      </c>
      <c r="I44" s="23">
        <f>+G44/E44</f>
        <v>0.6836627140974967</v>
      </c>
      <c r="J44" s="5"/>
    </row>
    <row r="45" spans="1:10" ht="12.75">
      <c r="A45" s="47"/>
      <c r="B45" s="27" t="s">
        <v>40</v>
      </c>
      <c r="C45" s="19"/>
      <c r="D45" s="57"/>
      <c r="E45" s="57"/>
      <c r="F45" s="57"/>
      <c r="G45" s="62"/>
      <c r="H45" s="20"/>
      <c r="I45" s="20"/>
      <c r="J45" s="5"/>
    </row>
    <row r="46" spans="1:10" ht="12.75">
      <c r="A46" s="47"/>
      <c r="B46" s="49" t="s">
        <v>35</v>
      </c>
      <c r="C46" s="19" t="s">
        <v>16</v>
      </c>
      <c r="D46" s="41">
        <v>675</v>
      </c>
      <c r="E46" s="63">
        <v>700</v>
      </c>
      <c r="F46" s="63">
        <f>+G46-514</f>
        <v>59.60000000000002</v>
      </c>
      <c r="G46" s="64">
        <v>573.6</v>
      </c>
      <c r="H46" s="23">
        <f>G46/D46</f>
        <v>0.8497777777777779</v>
      </c>
      <c r="I46" s="23">
        <f>+G46/E46</f>
        <v>0.8194285714285715</v>
      </c>
      <c r="J46" s="5"/>
    </row>
    <row r="47" spans="1:10" ht="12.75">
      <c r="A47" s="47"/>
      <c r="B47" s="49" t="s">
        <v>36</v>
      </c>
      <c r="C47" s="50" t="s">
        <v>30</v>
      </c>
      <c r="D47" s="60">
        <v>423</v>
      </c>
      <c r="E47" s="65">
        <f>+E46</f>
        <v>700</v>
      </c>
      <c r="F47" s="65">
        <f>+G47-365.54</f>
        <v>49.45999999999998</v>
      </c>
      <c r="G47" s="64">
        <v>415</v>
      </c>
      <c r="H47" s="23">
        <f>G47/D47</f>
        <v>0.9810874704491725</v>
      </c>
      <c r="I47" s="23">
        <f>+G47/E47</f>
        <v>0.5928571428571429</v>
      </c>
      <c r="J47" s="5"/>
    </row>
    <row r="48" spans="1:10" ht="12.75">
      <c r="A48" s="47" t="s">
        <v>41</v>
      </c>
      <c r="B48" s="27" t="s">
        <v>42</v>
      </c>
      <c r="C48" s="19" t="s">
        <v>16</v>
      </c>
      <c r="D48" s="56">
        <f>+D50+D55</f>
        <v>27866</v>
      </c>
      <c r="E48" s="56">
        <f>+E50+E55</f>
        <v>31100</v>
      </c>
      <c r="F48" s="56">
        <f>+F50+F55</f>
        <v>2165.7299999999987</v>
      </c>
      <c r="G48" s="56">
        <f>+G50+G55</f>
        <v>27754.73</v>
      </c>
      <c r="H48" s="20">
        <f>G48/D48</f>
        <v>0.9960069618890404</v>
      </c>
      <c r="I48" s="20">
        <f>+G48/E48</f>
        <v>0.8924350482315112</v>
      </c>
      <c r="J48" s="5"/>
    </row>
    <row r="49" spans="1:10" ht="12.75">
      <c r="A49" s="47"/>
      <c r="B49" s="27" t="s">
        <v>43</v>
      </c>
      <c r="C49" s="19"/>
      <c r="D49" s="56"/>
      <c r="E49" s="56"/>
      <c r="F49" s="56"/>
      <c r="G49" s="56"/>
      <c r="H49" s="20"/>
      <c r="I49" s="20"/>
      <c r="J49" s="5"/>
    </row>
    <row r="50" spans="1:10" ht="12.75">
      <c r="A50" s="47"/>
      <c r="B50" s="22" t="s">
        <v>44</v>
      </c>
      <c r="C50" s="19" t="s">
        <v>16</v>
      </c>
      <c r="D50" s="43">
        <v>27130</v>
      </c>
      <c r="E50" s="43">
        <v>30000</v>
      </c>
      <c r="F50" s="43">
        <f>+G50-24801</f>
        <v>2156.279999999999</v>
      </c>
      <c r="G50" s="64">
        <f>27134.78-33-165+20.5</f>
        <v>26957.28</v>
      </c>
      <c r="H50" s="23">
        <f>G50/D50</f>
        <v>0.9936336159233321</v>
      </c>
      <c r="I50" s="23">
        <f>+G50/E50</f>
        <v>0.8985759999999999</v>
      </c>
      <c r="J50" s="106"/>
    </row>
    <row r="51" spans="1:10" ht="12.75">
      <c r="A51" s="47"/>
      <c r="B51" s="49" t="s">
        <v>36</v>
      </c>
      <c r="C51" s="50" t="s">
        <v>30</v>
      </c>
      <c r="D51" s="43">
        <v>24125</v>
      </c>
      <c r="E51" s="43">
        <f>+E50</f>
        <v>30000</v>
      </c>
      <c r="F51" s="43">
        <f>+G51-19570</f>
        <v>2015</v>
      </c>
      <c r="G51" s="64">
        <v>21585</v>
      </c>
      <c r="H51" s="23">
        <f>G51/D51</f>
        <v>0.8947150259067358</v>
      </c>
      <c r="I51" s="23">
        <f>+G51/E51</f>
        <v>0.7195</v>
      </c>
      <c r="J51" s="5"/>
    </row>
    <row r="52" spans="1:10" ht="12.75">
      <c r="A52" s="47"/>
      <c r="B52" s="49" t="s">
        <v>37</v>
      </c>
      <c r="C52" s="19" t="s">
        <v>23</v>
      </c>
      <c r="D52" s="42">
        <f>+D53/D51*10</f>
        <v>205.6</v>
      </c>
      <c r="E52" s="43">
        <f>+E53/E51*10</f>
        <v>206</v>
      </c>
      <c r="F52" s="112">
        <f>+F53/F51*10</f>
        <v>274.6290322580642</v>
      </c>
      <c r="G52" s="112">
        <f>+G53/G51*10</f>
        <v>211.5</v>
      </c>
      <c r="H52" s="23">
        <f>G52/D52</f>
        <v>1.0286964980544748</v>
      </c>
      <c r="I52" s="23">
        <f>+G52/E52</f>
        <v>1.0266990291262137</v>
      </c>
      <c r="J52" s="5"/>
    </row>
    <row r="53" spans="1:10" ht="12.75">
      <c r="A53" s="47"/>
      <c r="B53" s="59" t="s">
        <v>38</v>
      </c>
      <c r="C53" s="19" t="s">
        <v>25</v>
      </c>
      <c r="D53" s="43">
        <v>496010</v>
      </c>
      <c r="E53" s="43">
        <v>618000</v>
      </c>
      <c r="F53" s="43">
        <f>+G53-401185</f>
        <v>55337.74999999994</v>
      </c>
      <c r="G53" s="64">
        <f>+G51*21.15</f>
        <v>456522.74999999994</v>
      </c>
      <c r="H53" s="23">
        <f>G53/D53</f>
        <v>0.9203902139069776</v>
      </c>
      <c r="I53" s="23">
        <f>+G53/E53</f>
        <v>0.7387099514563106</v>
      </c>
      <c r="J53" s="5"/>
    </row>
    <row r="54" spans="1:10" ht="12.75">
      <c r="A54" s="47"/>
      <c r="B54" s="48" t="s">
        <v>45</v>
      </c>
      <c r="C54" s="19"/>
      <c r="D54" s="43"/>
      <c r="E54" s="43"/>
      <c r="F54" s="43"/>
      <c r="G54" s="51"/>
      <c r="H54" s="23"/>
      <c r="I54" s="23"/>
      <c r="J54" s="5"/>
    </row>
    <row r="55" spans="1:10" ht="12.75">
      <c r="A55" s="47"/>
      <c r="B55" s="22" t="s">
        <v>44</v>
      </c>
      <c r="C55" s="19" t="s">
        <v>16</v>
      </c>
      <c r="D55" s="43">
        <v>736</v>
      </c>
      <c r="E55" s="43">
        <v>1100</v>
      </c>
      <c r="F55" s="43">
        <f>+G55-788</f>
        <v>9.450000000000045</v>
      </c>
      <c r="G55" s="64">
        <f>788+9.45</f>
        <v>797.45</v>
      </c>
      <c r="H55" s="23">
        <f>G55/D55</f>
        <v>1.083491847826087</v>
      </c>
      <c r="I55" s="23">
        <f>+G55/E55</f>
        <v>0.7249545454545455</v>
      </c>
      <c r="J55" s="5"/>
    </row>
    <row r="56" spans="1:10" ht="12.75">
      <c r="A56" s="47"/>
      <c r="B56" s="49" t="s">
        <v>36</v>
      </c>
      <c r="C56" s="50" t="s">
        <v>30</v>
      </c>
      <c r="D56" s="43">
        <v>612</v>
      </c>
      <c r="E56" s="43">
        <f>+E55</f>
        <v>1100</v>
      </c>
      <c r="F56" s="43">
        <f>+G56-580.6</f>
        <v>69.39999999999998</v>
      </c>
      <c r="G56" s="64">
        <v>650</v>
      </c>
      <c r="H56" s="23">
        <f>G56/D56</f>
        <v>1.0620915032679739</v>
      </c>
      <c r="I56" s="23">
        <f>+G56/E56</f>
        <v>0.5909090909090909</v>
      </c>
      <c r="J56" s="5"/>
    </row>
    <row r="57" spans="1:10" ht="12.75">
      <c r="A57" s="47"/>
      <c r="B57" s="49" t="s">
        <v>37</v>
      </c>
      <c r="C57" s="19" t="s">
        <v>23</v>
      </c>
      <c r="D57" s="42">
        <f>+D58/D56*10</f>
        <v>13.202614379084967</v>
      </c>
      <c r="E57" s="43">
        <f>+E58/E56*10</f>
        <v>12</v>
      </c>
      <c r="F57" s="112">
        <f>+F58/F56*10</f>
        <v>11.959654178674374</v>
      </c>
      <c r="G57" s="112">
        <f>+G58/G56*10</f>
        <v>13.600000000000001</v>
      </c>
      <c r="H57" s="23">
        <f>G57/D57</f>
        <v>1.0300990099009903</v>
      </c>
      <c r="I57" s="23">
        <f>+G57/E57</f>
        <v>1.1333333333333335</v>
      </c>
      <c r="J57" s="5"/>
    </row>
    <row r="58" spans="1:10" ht="12.75">
      <c r="A58" s="47"/>
      <c r="B58" s="59" t="s">
        <v>38</v>
      </c>
      <c r="C58" s="19" t="s">
        <v>25</v>
      </c>
      <c r="D58" s="43">
        <v>808</v>
      </c>
      <c r="E58" s="43">
        <v>1320</v>
      </c>
      <c r="F58" s="43">
        <f>+G58-801</f>
        <v>83.00000000000011</v>
      </c>
      <c r="G58" s="64">
        <f>+G56*1.36</f>
        <v>884.0000000000001</v>
      </c>
      <c r="H58" s="23">
        <f>G58/D58</f>
        <v>1.0940594059405941</v>
      </c>
      <c r="I58" s="23">
        <f>+G58/E58</f>
        <v>0.6696969696969698</v>
      </c>
      <c r="J58" s="5"/>
    </row>
    <row r="59" spans="1:10" ht="12.75">
      <c r="A59" s="66" t="s">
        <v>46</v>
      </c>
      <c r="B59" s="27" t="s">
        <v>47</v>
      </c>
      <c r="C59" s="19" t="s">
        <v>48</v>
      </c>
      <c r="D59" s="56">
        <f>+D61+D66+D72+D76</f>
        <v>14457</v>
      </c>
      <c r="E59" s="56">
        <f>+E61+E66+E72+E76</f>
        <v>15030</v>
      </c>
      <c r="F59" s="56">
        <f>+F61+F66+F72+F76</f>
        <v>353.58000000000015</v>
      </c>
      <c r="G59" s="56">
        <f>+G61+G66+G72+G76</f>
        <v>14917.58</v>
      </c>
      <c r="H59" s="20">
        <f>G59/D59</f>
        <v>1.0318586152037075</v>
      </c>
      <c r="I59" s="20">
        <f>+G59/E59</f>
        <v>0.9925202927478377</v>
      </c>
      <c r="J59" s="5"/>
    </row>
    <row r="60" spans="1:10" ht="13.5">
      <c r="A60" s="47"/>
      <c r="B60" s="27" t="s">
        <v>49</v>
      </c>
      <c r="C60" s="55" t="s">
        <v>16</v>
      </c>
      <c r="D60" s="37"/>
      <c r="E60" s="67"/>
      <c r="F60" s="67"/>
      <c r="G60" s="67"/>
      <c r="H60" s="20"/>
      <c r="I60" s="20"/>
      <c r="J60" s="5"/>
    </row>
    <row r="61" spans="1:10" ht="12.75">
      <c r="A61" s="47"/>
      <c r="B61" s="49" t="s">
        <v>35</v>
      </c>
      <c r="C61" s="19" t="s">
        <v>16</v>
      </c>
      <c r="D61" s="41">
        <v>4216</v>
      </c>
      <c r="E61" s="41">
        <v>4950</v>
      </c>
      <c r="F61" s="41">
        <f>+G61-4122</f>
        <v>44.80000000000018</v>
      </c>
      <c r="G61" s="64">
        <v>4166.8</v>
      </c>
      <c r="H61" s="20">
        <f>G61/D61</f>
        <v>0.9883301707779887</v>
      </c>
      <c r="I61" s="20">
        <f>+G61/E61</f>
        <v>0.8417777777777778</v>
      </c>
      <c r="J61" s="5"/>
    </row>
    <row r="62" spans="1:10" ht="12.75">
      <c r="A62" s="47"/>
      <c r="B62" s="49" t="s">
        <v>36</v>
      </c>
      <c r="C62" s="50" t="s">
        <v>30</v>
      </c>
      <c r="D62" s="51">
        <v>3741</v>
      </c>
      <c r="E62" s="51">
        <f>+E61</f>
        <v>4950</v>
      </c>
      <c r="F62" s="107">
        <f>+G62-3767.38</f>
        <v>89.86999999999989</v>
      </c>
      <c r="G62" s="109">
        <v>3857.25</v>
      </c>
      <c r="H62" s="23">
        <f>G62/D62</f>
        <v>1.031074578989575</v>
      </c>
      <c r="I62" s="23">
        <f>+G62/E62</f>
        <v>0.7792424242424243</v>
      </c>
      <c r="J62" s="5"/>
    </row>
    <row r="63" spans="1:10" ht="12.75">
      <c r="A63" s="47"/>
      <c r="B63" s="49" t="s">
        <v>37</v>
      </c>
      <c r="C63" s="19" t="s">
        <v>23</v>
      </c>
      <c r="D63" s="52">
        <f>+D64/D62*10</f>
        <v>46.5196471531676</v>
      </c>
      <c r="E63" s="52">
        <f>+E64/E62*10</f>
        <v>46.8</v>
      </c>
      <c r="F63" s="53">
        <f>+(F64/F62)*10</f>
        <v>51.18504506509409</v>
      </c>
      <c r="G63" s="53">
        <f>+(G64/G62)*10</f>
        <v>51.59115950482857</v>
      </c>
      <c r="H63" s="23">
        <f>G63/D63</f>
        <v>1.109018719229809</v>
      </c>
      <c r="I63" s="23">
        <f>+G63/E63</f>
        <v>1.1023752030946277</v>
      </c>
      <c r="J63" s="5"/>
    </row>
    <row r="64" spans="1:10" ht="12.75">
      <c r="A64" s="47"/>
      <c r="B64" s="59" t="s">
        <v>38</v>
      </c>
      <c r="C64" s="19" t="s">
        <v>25</v>
      </c>
      <c r="D64" s="57">
        <v>17403</v>
      </c>
      <c r="E64" s="57">
        <v>23166</v>
      </c>
      <c r="F64" s="61">
        <f>+G64-19440</f>
        <v>460</v>
      </c>
      <c r="G64" s="109">
        <v>19900</v>
      </c>
      <c r="H64" s="23">
        <f>G64/D64</f>
        <v>1.1434810090214331</v>
      </c>
      <c r="I64" s="23">
        <f>+G64/E64</f>
        <v>0.8590175256841923</v>
      </c>
      <c r="J64" s="5"/>
    </row>
    <row r="65" spans="1:10" ht="12.75">
      <c r="A65" s="47"/>
      <c r="B65" s="27" t="s">
        <v>50</v>
      </c>
      <c r="C65" s="19"/>
      <c r="D65" s="113"/>
      <c r="E65" s="57"/>
      <c r="F65" s="57"/>
      <c r="G65" s="68"/>
      <c r="H65" s="20"/>
      <c r="I65" s="20"/>
      <c r="J65" s="5"/>
    </row>
    <row r="66" spans="1:10" ht="12.75">
      <c r="A66" s="47"/>
      <c r="B66" s="49" t="s">
        <v>51</v>
      </c>
      <c r="C66" s="19" t="s">
        <v>16</v>
      </c>
      <c r="D66" s="41">
        <v>6791</v>
      </c>
      <c r="E66" s="41">
        <v>6600</v>
      </c>
      <c r="F66" s="41">
        <f>+G66-6497</f>
        <v>15.75</v>
      </c>
      <c r="G66" s="64">
        <v>6512.75</v>
      </c>
      <c r="H66" s="23">
        <f>G66/D66</f>
        <v>0.9590266529229863</v>
      </c>
      <c r="I66" s="23">
        <f>+G66/E66</f>
        <v>0.9867803030303031</v>
      </c>
      <c r="J66" s="5"/>
    </row>
    <row r="67" spans="1:10" ht="12.75">
      <c r="A67" s="47"/>
      <c r="B67" s="22" t="s">
        <v>52</v>
      </c>
      <c r="C67" s="50" t="s">
        <v>30</v>
      </c>
      <c r="D67" s="57"/>
      <c r="E67" s="57"/>
      <c r="F67" s="57"/>
      <c r="G67" s="64"/>
      <c r="H67" s="23"/>
      <c r="I67" s="23"/>
      <c r="J67" s="5"/>
    </row>
    <row r="68" spans="1:10" ht="12.75">
      <c r="A68" s="47"/>
      <c r="B68" s="49" t="s">
        <v>36</v>
      </c>
      <c r="C68" s="50" t="s">
        <v>30</v>
      </c>
      <c r="D68" s="51">
        <v>5612</v>
      </c>
      <c r="E68" s="51">
        <f>+E66</f>
        <v>6600</v>
      </c>
      <c r="F68" s="107">
        <f>+G68-5727</f>
        <v>38</v>
      </c>
      <c r="G68" s="109">
        <v>5765</v>
      </c>
      <c r="H68" s="23">
        <f>G68/D68</f>
        <v>1.0272630078403422</v>
      </c>
      <c r="I68" s="23">
        <f>+G68/E68</f>
        <v>0.8734848484848485</v>
      </c>
      <c r="J68" s="5"/>
    </row>
    <row r="69" spans="1:10" ht="12.75">
      <c r="A69" s="47"/>
      <c r="B69" s="49" t="s">
        <v>53</v>
      </c>
      <c r="C69" s="19" t="s">
        <v>23</v>
      </c>
      <c r="D69" s="51">
        <f>+D70/D68*10</f>
        <v>1064.1999287241624</v>
      </c>
      <c r="E69" s="51">
        <f>+E70/E68*10</f>
        <v>1060</v>
      </c>
      <c r="F69" s="53">
        <f>(F70/F68)*10</f>
        <v>1074.9921052631505</v>
      </c>
      <c r="G69" s="109">
        <f>(G70/G68)*10</f>
        <v>1075</v>
      </c>
      <c r="H69" s="23">
        <f>G69/D69</f>
        <v>1.010148535988708</v>
      </c>
      <c r="I69" s="23">
        <f>+G69/E69</f>
        <v>1.0141509433962264</v>
      </c>
      <c r="J69" s="5"/>
    </row>
    <row r="70" spans="1:10" ht="12.75">
      <c r="A70" s="47"/>
      <c r="B70" s="59" t="s">
        <v>38</v>
      </c>
      <c r="C70" s="19" t="s">
        <v>25</v>
      </c>
      <c r="D70" s="57">
        <v>597229</v>
      </c>
      <c r="E70" s="57">
        <v>699600</v>
      </c>
      <c r="F70" s="61">
        <f>+G70-615652.53</f>
        <v>4084.969999999972</v>
      </c>
      <c r="G70" s="108">
        <f>+G68*107.5</f>
        <v>619737.5</v>
      </c>
      <c r="H70" s="23">
        <f>G70/D70</f>
        <v>1.037688223445278</v>
      </c>
      <c r="I70" s="23">
        <f>+G70/E70</f>
        <v>0.885845483133219</v>
      </c>
      <c r="J70" s="5"/>
    </row>
    <row r="71" spans="1:10" ht="12.75">
      <c r="A71" s="47"/>
      <c r="B71" s="48" t="s">
        <v>54</v>
      </c>
      <c r="C71" s="19"/>
      <c r="D71" s="57"/>
      <c r="E71" s="57"/>
      <c r="F71" s="57"/>
      <c r="G71" s="51"/>
      <c r="H71" s="20"/>
      <c r="I71" s="20"/>
      <c r="J71" s="5"/>
    </row>
    <row r="72" spans="1:10" ht="12.75">
      <c r="A72" s="47"/>
      <c r="B72" s="49" t="s">
        <v>35</v>
      </c>
      <c r="C72" s="19" t="s">
        <v>16</v>
      </c>
      <c r="D72" s="57">
        <v>1964</v>
      </c>
      <c r="E72" s="57">
        <v>1500</v>
      </c>
      <c r="F72" s="57">
        <f>+G72-2234</f>
        <v>180</v>
      </c>
      <c r="G72" s="64">
        <v>2414</v>
      </c>
      <c r="H72" s="23">
        <f aca="true" t="shared" si="0" ref="H72:H78">G72/D72</f>
        <v>1.2291242362525459</v>
      </c>
      <c r="I72" s="23">
        <f aca="true" t="shared" si="1" ref="I72:I78">+G72/E72</f>
        <v>1.6093333333333333</v>
      </c>
      <c r="J72" s="5"/>
    </row>
    <row r="73" spans="1:10" ht="12.75">
      <c r="A73" s="47"/>
      <c r="B73" s="49" t="s">
        <v>36</v>
      </c>
      <c r="C73" s="50" t="s">
        <v>30</v>
      </c>
      <c r="D73" s="51">
        <v>1275</v>
      </c>
      <c r="E73" s="51">
        <f>+E72</f>
        <v>1500</v>
      </c>
      <c r="F73" s="51">
        <f>+G73-1575</f>
        <v>190.54999999999995</v>
      </c>
      <c r="G73" s="109">
        <v>1765.55</v>
      </c>
      <c r="H73" s="23">
        <f t="shared" si="0"/>
        <v>1.3847450980392157</v>
      </c>
      <c r="I73" s="23">
        <f t="shared" si="1"/>
        <v>1.1770333333333334</v>
      </c>
      <c r="J73" s="5"/>
    </row>
    <row r="74" spans="1:10" ht="12.75">
      <c r="A74" s="47"/>
      <c r="B74" s="49" t="s">
        <v>37</v>
      </c>
      <c r="C74" s="19" t="s">
        <v>23</v>
      </c>
      <c r="D74" s="52">
        <f>+D75/D73*10</f>
        <v>85.74117647058824</v>
      </c>
      <c r="E74" s="52">
        <f>+E75/E73*10</f>
        <v>100</v>
      </c>
      <c r="F74" s="53">
        <f>(F75/F73)*10</f>
        <v>105.51311991603265</v>
      </c>
      <c r="G74" s="53">
        <f>(G75/G73)*10</f>
        <v>105.5</v>
      </c>
      <c r="H74" s="23">
        <f t="shared" si="0"/>
        <v>1.23044731064764</v>
      </c>
      <c r="I74" s="23">
        <f t="shared" si="1"/>
        <v>1.055</v>
      </c>
      <c r="J74" s="5"/>
    </row>
    <row r="75" spans="1:10" ht="12.75">
      <c r="A75" s="47"/>
      <c r="B75" s="59" t="s">
        <v>38</v>
      </c>
      <c r="C75" s="19" t="s">
        <v>25</v>
      </c>
      <c r="D75" s="57">
        <v>10932</v>
      </c>
      <c r="E75" s="57">
        <v>15000</v>
      </c>
      <c r="F75" s="61">
        <f>+G75-16616</f>
        <v>2010.5525000000016</v>
      </c>
      <c r="G75" s="108">
        <f>+G73*10.55</f>
        <v>18626.5525</v>
      </c>
      <c r="H75" s="23">
        <f t="shared" si="0"/>
        <v>1.7038558818148557</v>
      </c>
      <c r="I75" s="23">
        <f t="shared" si="1"/>
        <v>1.2417701666666667</v>
      </c>
      <c r="J75" s="5"/>
    </row>
    <row r="76" spans="1:10" ht="12.75">
      <c r="A76" s="47"/>
      <c r="B76" s="69" t="s">
        <v>55</v>
      </c>
      <c r="C76" s="70" t="s">
        <v>12</v>
      </c>
      <c r="D76" s="24">
        <f>+D77+D78</f>
        <v>1486</v>
      </c>
      <c r="E76" s="24">
        <f>+E77+E78</f>
        <v>1980</v>
      </c>
      <c r="F76" s="24">
        <f>+F77+F78</f>
        <v>113.02999999999997</v>
      </c>
      <c r="G76" s="24">
        <f>+G77+G78</f>
        <v>1824.03</v>
      </c>
      <c r="H76" s="23">
        <f t="shared" si="0"/>
        <v>1.2274764468371466</v>
      </c>
      <c r="I76" s="23">
        <f t="shared" si="1"/>
        <v>0.9212272727272727</v>
      </c>
      <c r="J76" s="5"/>
    </row>
    <row r="77" spans="1:10" ht="12.75">
      <c r="A77" s="47"/>
      <c r="B77" s="71" t="s">
        <v>56</v>
      </c>
      <c r="C77" s="70" t="s">
        <v>22</v>
      </c>
      <c r="D77" s="43">
        <v>1258</v>
      </c>
      <c r="E77" s="43">
        <v>1800</v>
      </c>
      <c r="F77" s="43">
        <f>+G77-1563</f>
        <v>113.02999999999997</v>
      </c>
      <c r="G77" s="110">
        <f>1684.83-8.8</f>
        <v>1676.03</v>
      </c>
      <c r="H77" s="23">
        <f t="shared" si="0"/>
        <v>1.3322972972972973</v>
      </c>
      <c r="I77" s="23">
        <f t="shared" si="1"/>
        <v>0.9311277777777778</v>
      </c>
      <c r="J77" s="5"/>
    </row>
    <row r="78" spans="1:10" ht="12.75">
      <c r="A78" s="47"/>
      <c r="B78" s="71" t="s">
        <v>57</v>
      </c>
      <c r="C78" s="70" t="s">
        <v>22</v>
      </c>
      <c r="D78" s="43">
        <v>228</v>
      </c>
      <c r="E78" s="43">
        <v>180</v>
      </c>
      <c r="F78" s="43">
        <f>+G78-148</f>
        <v>0</v>
      </c>
      <c r="G78" s="110">
        <v>148</v>
      </c>
      <c r="H78" s="23">
        <f t="shared" si="0"/>
        <v>0.6491228070175439</v>
      </c>
      <c r="I78" s="23">
        <f t="shared" si="1"/>
        <v>0.8222222222222222</v>
      </c>
      <c r="J78" s="5"/>
    </row>
    <row r="79" spans="1:10" ht="12.75">
      <c r="A79" s="66">
        <v>2</v>
      </c>
      <c r="B79" s="27" t="s">
        <v>58</v>
      </c>
      <c r="C79" s="19"/>
      <c r="D79" s="72"/>
      <c r="E79" s="22"/>
      <c r="F79" s="22"/>
      <c r="G79" s="73"/>
      <c r="H79" s="23"/>
      <c r="I79" s="23"/>
      <c r="J79" s="5"/>
    </row>
    <row r="80" spans="1:10" ht="12.75">
      <c r="A80" s="66" t="s">
        <v>59</v>
      </c>
      <c r="B80" s="74" t="s">
        <v>60</v>
      </c>
      <c r="C80" s="75"/>
      <c r="D80" s="57"/>
      <c r="E80" s="76"/>
      <c r="F80" s="76"/>
      <c r="G80" s="76"/>
      <c r="H80" s="23"/>
      <c r="I80" s="23"/>
      <c r="J80" s="5"/>
    </row>
    <row r="81" spans="1:10" ht="12.75">
      <c r="A81" s="77" t="s">
        <v>9</v>
      </c>
      <c r="B81" s="44" t="s">
        <v>62</v>
      </c>
      <c r="C81" s="21"/>
      <c r="D81" s="21"/>
      <c r="E81" s="45"/>
      <c r="F81" s="45"/>
      <c r="G81" s="51"/>
      <c r="H81" s="23"/>
      <c r="I81" s="23"/>
      <c r="J81" s="5"/>
    </row>
    <row r="82" spans="1:10" ht="12.75">
      <c r="A82" s="77" t="s">
        <v>63</v>
      </c>
      <c r="B82" s="44" t="s">
        <v>64</v>
      </c>
      <c r="C82" s="21"/>
      <c r="D82" s="21"/>
      <c r="E82" s="45"/>
      <c r="F82" s="45"/>
      <c r="G82" s="51"/>
      <c r="H82" s="23"/>
      <c r="I82" s="23"/>
      <c r="J82" s="5"/>
    </row>
    <row r="83" spans="1:10" ht="12.75">
      <c r="A83" s="77" t="s">
        <v>17</v>
      </c>
      <c r="B83" s="45" t="s">
        <v>65</v>
      </c>
      <c r="C83" s="21" t="s">
        <v>16</v>
      </c>
      <c r="D83" s="45">
        <v>120</v>
      </c>
      <c r="E83" s="45">
        <v>130</v>
      </c>
      <c r="F83" s="78">
        <f>+G83-130.3</f>
        <v>0</v>
      </c>
      <c r="G83" s="79">
        <v>130.3</v>
      </c>
      <c r="H83" s="23">
        <f aca="true" t="shared" si="2" ref="H83:H92">G83/D83</f>
        <v>1.0858333333333334</v>
      </c>
      <c r="I83" s="23">
        <f>+G83/E83</f>
        <v>1.0023076923076923</v>
      </c>
      <c r="J83" s="5"/>
    </row>
    <row r="84" spans="1:10" ht="12.75">
      <c r="A84" s="80"/>
      <c r="B84" s="81" t="s">
        <v>66</v>
      </c>
      <c r="C84" s="21"/>
      <c r="D84" s="45"/>
      <c r="E84" s="45"/>
      <c r="F84" s="45"/>
      <c r="G84" s="24"/>
      <c r="H84" s="23"/>
      <c r="I84" s="23"/>
      <c r="J84" s="5"/>
    </row>
    <row r="85" spans="1:10" ht="12.75">
      <c r="A85" s="80"/>
      <c r="B85" s="45" t="s">
        <v>67</v>
      </c>
      <c r="C85" s="19" t="s">
        <v>68</v>
      </c>
      <c r="D85" s="45">
        <v>120</v>
      </c>
      <c r="E85" s="45">
        <f>+E83</f>
        <v>130</v>
      </c>
      <c r="F85" s="78">
        <f>+F83</f>
        <v>0</v>
      </c>
      <c r="G85" s="45">
        <f>+G83</f>
        <v>130.3</v>
      </c>
      <c r="H85" s="23">
        <f t="shared" si="2"/>
        <v>1.0858333333333334</v>
      </c>
      <c r="I85" s="23">
        <f>+G85/E85</f>
        <v>1.0023076923076923</v>
      </c>
      <c r="J85" s="5"/>
    </row>
    <row r="86" spans="1:10" ht="12.75">
      <c r="A86" s="80"/>
      <c r="B86" s="82" t="s">
        <v>69</v>
      </c>
      <c r="C86" s="19" t="s">
        <v>68</v>
      </c>
      <c r="D86" s="45"/>
      <c r="E86" s="45"/>
      <c r="F86" s="45"/>
      <c r="G86" s="45"/>
      <c r="H86" s="23"/>
      <c r="I86" s="23"/>
      <c r="J86" s="5"/>
    </row>
    <row r="87" spans="1:10" ht="12.75">
      <c r="A87" s="80"/>
      <c r="B87" s="45" t="s">
        <v>70</v>
      </c>
      <c r="C87" s="19" t="s">
        <v>68</v>
      </c>
      <c r="D87" s="45"/>
      <c r="E87" s="45"/>
      <c r="F87" s="45"/>
      <c r="G87" s="45"/>
      <c r="H87" s="23"/>
      <c r="I87" s="23"/>
      <c r="J87" s="5"/>
    </row>
    <row r="88" spans="1:10" ht="12.75">
      <c r="A88" s="80"/>
      <c r="B88" s="59" t="s">
        <v>71</v>
      </c>
      <c r="C88" s="21" t="s">
        <v>16</v>
      </c>
      <c r="D88" s="45"/>
      <c r="E88" s="45"/>
      <c r="F88" s="45"/>
      <c r="G88" s="45"/>
      <c r="H88" s="23"/>
      <c r="I88" s="23"/>
      <c r="J88" s="5"/>
    </row>
    <row r="89" spans="1:10" ht="12.75">
      <c r="A89" s="77" t="s">
        <v>32</v>
      </c>
      <c r="B89" s="45" t="s">
        <v>72</v>
      </c>
      <c r="C89" s="21" t="s">
        <v>16</v>
      </c>
      <c r="D89" s="45">
        <v>385</v>
      </c>
      <c r="E89" s="45">
        <v>314</v>
      </c>
      <c r="F89" s="45"/>
      <c r="G89" s="45">
        <v>315.537</v>
      </c>
      <c r="H89" s="23">
        <f t="shared" si="2"/>
        <v>0.8195766233766233</v>
      </c>
      <c r="I89" s="23">
        <f>+G89/E89</f>
        <v>1.0048949044585986</v>
      </c>
      <c r="J89" s="5"/>
    </row>
    <row r="90" spans="1:10" ht="12.75">
      <c r="A90" s="77" t="s">
        <v>41</v>
      </c>
      <c r="B90" s="45" t="s">
        <v>73</v>
      </c>
      <c r="C90" s="21" t="s">
        <v>16</v>
      </c>
      <c r="D90" s="45">
        <v>65</v>
      </c>
      <c r="E90" s="45">
        <v>65</v>
      </c>
      <c r="F90" s="45"/>
      <c r="G90" s="45">
        <v>65</v>
      </c>
      <c r="H90" s="23">
        <f t="shared" si="2"/>
        <v>1</v>
      </c>
      <c r="I90" s="23">
        <f>+G90/E90</f>
        <v>1</v>
      </c>
      <c r="J90" s="5"/>
    </row>
    <row r="91" spans="1:10" ht="12.75">
      <c r="A91" s="77" t="s">
        <v>74</v>
      </c>
      <c r="B91" s="45" t="s">
        <v>75</v>
      </c>
      <c r="C91" s="21" t="s">
        <v>16</v>
      </c>
      <c r="D91" s="51">
        <v>4118.7</v>
      </c>
      <c r="E91" s="51">
        <v>4793</v>
      </c>
      <c r="F91" s="51"/>
      <c r="G91" s="45">
        <v>4741.641</v>
      </c>
      <c r="H91" s="23">
        <f t="shared" si="2"/>
        <v>1.1512469954111735</v>
      </c>
      <c r="I91" s="23">
        <f>+G91/E91</f>
        <v>0.9892845816816189</v>
      </c>
      <c r="J91" s="5"/>
    </row>
    <row r="92" spans="1:10" ht="12.75">
      <c r="A92" s="77" t="s">
        <v>76</v>
      </c>
      <c r="B92" s="45" t="s">
        <v>77</v>
      </c>
      <c r="C92" s="21" t="s">
        <v>78</v>
      </c>
      <c r="D92" s="45">
        <v>127</v>
      </c>
      <c r="E92" s="51">
        <v>1000</v>
      </c>
      <c r="F92" s="51"/>
      <c r="G92" s="45">
        <v>1000</v>
      </c>
      <c r="H92" s="23">
        <f t="shared" si="2"/>
        <v>7.874015748031496</v>
      </c>
      <c r="I92" s="23">
        <f>+G92/E92</f>
        <v>1</v>
      </c>
      <c r="J92" s="5"/>
    </row>
    <row r="93" spans="1:10" ht="12.75">
      <c r="A93" s="80" t="s">
        <v>79</v>
      </c>
      <c r="B93" s="74" t="s">
        <v>80</v>
      </c>
      <c r="C93" s="83"/>
      <c r="D93" s="45"/>
      <c r="E93" s="45"/>
      <c r="F93" s="45"/>
      <c r="G93" s="45"/>
      <c r="H93" s="20"/>
      <c r="I93" s="20"/>
      <c r="J93" s="5"/>
    </row>
    <row r="94" spans="1:10" ht="15.75">
      <c r="A94" s="80"/>
      <c r="B94" s="45" t="s">
        <v>81</v>
      </c>
      <c r="C94" s="21" t="s">
        <v>150</v>
      </c>
      <c r="D94" s="45"/>
      <c r="E94" s="45"/>
      <c r="F94" s="45"/>
      <c r="G94" s="45"/>
      <c r="H94" s="20"/>
      <c r="I94" s="20"/>
      <c r="J94" s="5"/>
    </row>
    <row r="95" spans="1:10" ht="12.75">
      <c r="A95" s="80"/>
      <c r="B95" s="45" t="s">
        <v>151</v>
      </c>
      <c r="C95" s="19" t="s">
        <v>68</v>
      </c>
      <c r="D95" s="45"/>
      <c r="E95" s="45"/>
      <c r="F95" s="45"/>
      <c r="G95" s="45"/>
      <c r="H95" s="20"/>
      <c r="I95" s="20"/>
      <c r="J95" s="5"/>
    </row>
    <row r="96" spans="1:10" ht="12.75">
      <c r="A96" s="77" t="s">
        <v>10</v>
      </c>
      <c r="B96" s="84" t="s">
        <v>82</v>
      </c>
      <c r="C96" s="83"/>
      <c r="D96" s="45"/>
      <c r="E96" s="45"/>
      <c r="F96" s="45"/>
      <c r="G96" s="45"/>
      <c r="H96" s="20"/>
      <c r="I96" s="20"/>
      <c r="J96" s="5"/>
    </row>
    <row r="97" spans="1:10" ht="12.75">
      <c r="A97" s="77" t="s">
        <v>83</v>
      </c>
      <c r="B97" s="44" t="s">
        <v>84</v>
      </c>
      <c r="C97" s="21"/>
      <c r="D97" s="45"/>
      <c r="E97" s="45"/>
      <c r="F97" s="45"/>
      <c r="G97" s="45"/>
      <c r="H97" s="20"/>
      <c r="I97" s="20"/>
      <c r="J97" s="5"/>
    </row>
    <row r="98" spans="1:10" ht="14.25">
      <c r="A98" s="80" t="s">
        <v>63</v>
      </c>
      <c r="B98" s="74" t="s">
        <v>85</v>
      </c>
      <c r="C98" s="21" t="s">
        <v>16</v>
      </c>
      <c r="D98" s="85">
        <f>+D99+D105</f>
        <v>54234.58</v>
      </c>
      <c r="E98" s="86">
        <f>E99+E105</f>
        <v>48000</v>
      </c>
      <c r="F98" s="86">
        <f>+F99+F105</f>
        <v>1409.2700000000004</v>
      </c>
      <c r="G98" s="11">
        <f>G99+G105</f>
        <v>51002.119999999995</v>
      </c>
      <c r="H98" s="20">
        <f aca="true" t="shared" si="3" ref="H98:H103">G98/D98</f>
        <v>0.9403985427747388</v>
      </c>
      <c r="I98" s="20">
        <f aca="true" t="shared" si="4" ref="I98:I103">+G98/E98</f>
        <v>1.0625441666666666</v>
      </c>
      <c r="J98" s="5"/>
    </row>
    <row r="99" spans="1:10" ht="14.25">
      <c r="A99" s="77" t="s">
        <v>17</v>
      </c>
      <c r="B99" s="74" t="s">
        <v>86</v>
      </c>
      <c r="C99" s="19" t="s">
        <v>68</v>
      </c>
      <c r="D99" s="85">
        <f>+D100+D102+D104</f>
        <v>5106.780000000001</v>
      </c>
      <c r="E99" s="85">
        <f>E100+E102+E104</f>
        <v>12000</v>
      </c>
      <c r="F99" s="29">
        <f>F100+F102+F104</f>
        <v>668.3100000000001</v>
      </c>
      <c r="G99" s="12">
        <f>G100+G102+G104</f>
        <v>4659.91</v>
      </c>
      <c r="H99" s="20">
        <f t="shared" si="3"/>
        <v>0.9124947618655982</v>
      </c>
      <c r="I99" s="20">
        <f t="shared" si="4"/>
        <v>0.3883258333333333</v>
      </c>
      <c r="J99" s="5"/>
    </row>
    <row r="100" spans="1:10" ht="15">
      <c r="A100" s="80"/>
      <c r="B100" s="45" t="s">
        <v>87</v>
      </c>
      <c r="C100" s="19" t="s">
        <v>68</v>
      </c>
      <c r="D100" s="51">
        <v>3975.4</v>
      </c>
      <c r="E100" s="51">
        <v>10600</v>
      </c>
      <c r="F100" s="79">
        <f>+G100-3199</f>
        <v>193</v>
      </c>
      <c r="G100" s="9">
        <f>3199+193</f>
        <v>3392</v>
      </c>
      <c r="H100" s="23">
        <f t="shared" si="3"/>
        <v>0.8532474719525079</v>
      </c>
      <c r="I100" s="23">
        <f t="shared" si="4"/>
        <v>0.32</v>
      </c>
      <c r="J100" s="5"/>
    </row>
    <row r="101" spans="1:10" ht="15">
      <c r="A101" s="80"/>
      <c r="B101" s="45" t="s">
        <v>88</v>
      </c>
      <c r="C101" s="19" t="s">
        <v>68</v>
      </c>
      <c r="D101" s="37">
        <v>93.69</v>
      </c>
      <c r="E101" s="51">
        <v>150</v>
      </c>
      <c r="F101" s="79">
        <f>+G101-28.42</f>
        <v>0</v>
      </c>
      <c r="G101" s="8">
        <v>28.42</v>
      </c>
      <c r="H101" s="23">
        <f t="shared" si="3"/>
        <v>0.303340804781727</v>
      </c>
      <c r="I101" s="23">
        <f t="shared" si="4"/>
        <v>0.18946666666666667</v>
      </c>
      <c r="J101" s="5"/>
    </row>
    <row r="102" spans="1:10" ht="15">
      <c r="A102" s="80"/>
      <c r="B102" s="45" t="s">
        <v>89</v>
      </c>
      <c r="C102" s="19" t="s">
        <v>68</v>
      </c>
      <c r="D102" s="37">
        <v>1131.38</v>
      </c>
      <c r="E102" s="51">
        <v>1300</v>
      </c>
      <c r="F102" s="79">
        <f>+F103</f>
        <v>475.31000000000006</v>
      </c>
      <c r="G102" s="8">
        <f>G103</f>
        <v>1237.91</v>
      </c>
      <c r="H102" s="23">
        <f t="shared" si="3"/>
        <v>1.0941593452244163</v>
      </c>
      <c r="I102" s="23">
        <f t="shared" si="4"/>
        <v>0.9522384615384616</v>
      </c>
      <c r="J102" s="5"/>
    </row>
    <row r="103" spans="1:10" ht="15">
      <c r="A103" s="80"/>
      <c r="B103" s="45" t="s">
        <v>90</v>
      </c>
      <c r="C103" s="19" t="s">
        <v>68</v>
      </c>
      <c r="D103" s="37">
        <f>+D102</f>
        <v>1131.38</v>
      </c>
      <c r="E103" s="51">
        <f>+E102</f>
        <v>1300</v>
      </c>
      <c r="F103" s="79">
        <f>+G103-762.6</f>
        <v>475.31000000000006</v>
      </c>
      <c r="G103" s="8">
        <v>1237.91</v>
      </c>
      <c r="H103" s="23">
        <f t="shared" si="3"/>
        <v>1.0941593452244163</v>
      </c>
      <c r="I103" s="23">
        <f t="shared" si="4"/>
        <v>0.9522384615384616</v>
      </c>
      <c r="J103" s="5"/>
    </row>
    <row r="104" spans="1:10" ht="15">
      <c r="A104" s="80"/>
      <c r="B104" s="45" t="s">
        <v>91</v>
      </c>
      <c r="C104" s="19" t="s">
        <v>68</v>
      </c>
      <c r="D104" s="45"/>
      <c r="E104" s="82">
        <v>100</v>
      </c>
      <c r="F104" s="87">
        <v>0</v>
      </c>
      <c r="G104" s="8">
        <v>30</v>
      </c>
      <c r="H104" s="23"/>
      <c r="I104" s="23"/>
      <c r="J104" s="5"/>
    </row>
    <row r="105" spans="1:10" ht="14.25">
      <c r="A105" s="77" t="s">
        <v>32</v>
      </c>
      <c r="B105" s="74" t="s">
        <v>92</v>
      </c>
      <c r="C105" s="21" t="s">
        <v>16</v>
      </c>
      <c r="D105" s="85">
        <f>+D106+D109+D113</f>
        <v>49127.8</v>
      </c>
      <c r="E105" s="85">
        <f>E106+E109+E113</f>
        <v>36000</v>
      </c>
      <c r="F105" s="62">
        <f>F106+F109+F113</f>
        <v>740.9600000000005</v>
      </c>
      <c r="G105" s="12">
        <f>G106+G109+G113</f>
        <v>46342.21</v>
      </c>
      <c r="H105" s="20">
        <f>G105/D105</f>
        <v>0.9432991096690672</v>
      </c>
      <c r="I105" s="20">
        <f>+G105/E105</f>
        <v>1.287283611111111</v>
      </c>
      <c r="J105" s="5"/>
    </row>
    <row r="106" spans="1:10" ht="15">
      <c r="A106" s="80"/>
      <c r="B106" s="45" t="s">
        <v>87</v>
      </c>
      <c r="C106" s="19"/>
      <c r="D106" s="45"/>
      <c r="E106" s="51"/>
      <c r="F106" s="51"/>
      <c r="G106" s="8">
        <f>G107+G108</f>
        <v>49.6</v>
      </c>
      <c r="H106" s="20"/>
      <c r="I106" s="20"/>
      <c r="J106" s="5"/>
    </row>
    <row r="107" spans="1:10" ht="15">
      <c r="A107" s="80"/>
      <c r="B107" s="45" t="s">
        <v>93</v>
      </c>
      <c r="C107" s="19" t="s">
        <v>68</v>
      </c>
      <c r="D107" s="45"/>
      <c r="E107" s="51"/>
      <c r="F107" s="51"/>
      <c r="G107" s="8"/>
      <c r="H107" s="20"/>
      <c r="I107" s="20"/>
      <c r="J107" s="5"/>
    </row>
    <row r="108" spans="1:10" ht="15">
      <c r="A108" s="80"/>
      <c r="B108" s="45" t="s">
        <v>94</v>
      </c>
      <c r="C108" s="19"/>
      <c r="D108" s="45"/>
      <c r="E108" s="51"/>
      <c r="F108" s="51"/>
      <c r="G108" s="8">
        <v>49.6</v>
      </c>
      <c r="H108" s="20"/>
      <c r="I108" s="20"/>
      <c r="J108" s="5"/>
    </row>
    <row r="109" spans="1:10" ht="15">
      <c r="A109" s="80"/>
      <c r="B109" s="45" t="s">
        <v>89</v>
      </c>
      <c r="C109" s="19" t="s">
        <v>68</v>
      </c>
      <c r="D109" s="51">
        <v>47994.8</v>
      </c>
      <c r="E109" s="79">
        <f>E110+E111+E112</f>
        <v>33500</v>
      </c>
      <c r="F109" s="9">
        <f>+F110+F111+F112</f>
        <v>740.9600000000005</v>
      </c>
      <c r="G109" s="9">
        <f>+G110+G111+G112</f>
        <v>46142.61</v>
      </c>
      <c r="H109" s="23">
        <f>G109/D109</f>
        <v>0.9614085275904889</v>
      </c>
      <c r="I109" s="23">
        <f>+G109/E109</f>
        <v>1.377391343283582</v>
      </c>
      <c r="J109" s="5"/>
    </row>
    <row r="110" spans="1:10" ht="15">
      <c r="A110" s="80"/>
      <c r="B110" s="45" t="s">
        <v>95</v>
      </c>
      <c r="C110" s="19" t="s">
        <v>68</v>
      </c>
      <c r="D110" s="51">
        <v>29787.4</v>
      </c>
      <c r="E110" s="51">
        <v>18000</v>
      </c>
      <c r="F110" s="51">
        <f>+G110-25884.6</f>
        <v>12.400000000001455</v>
      </c>
      <c r="G110" s="9">
        <v>25897</v>
      </c>
      <c r="H110" s="23">
        <f>G110/D110</f>
        <v>0.869394441945252</v>
      </c>
      <c r="I110" s="23">
        <f>+G110/E110</f>
        <v>1.4387222222222222</v>
      </c>
      <c r="J110" s="5"/>
    </row>
    <row r="111" spans="1:11" ht="15">
      <c r="A111" s="80"/>
      <c r="B111" s="45" t="s">
        <v>96</v>
      </c>
      <c r="C111" s="19" t="s">
        <v>68</v>
      </c>
      <c r="D111" s="51">
        <v>658</v>
      </c>
      <c r="E111" s="51">
        <v>2000</v>
      </c>
      <c r="F111" s="51">
        <f>+G111-2182.65</f>
        <v>55.00999999999976</v>
      </c>
      <c r="G111" s="8">
        <v>2237.66</v>
      </c>
      <c r="H111" s="23">
        <f>G111/D111</f>
        <v>3.4006990881458963</v>
      </c>
      <c r="I111" s="23">
        <f>+G111/E111</f>
        <v>1.11883</v>
      </c>
      <c r="J111" s="5"/>
      <c r="K111">
        <f>18008+150</f>
        <v>18158</v>
      </c>
    </row>
    <row r="112" spans="1:10" ht="15">
      <c r="A112" s="80"/>
      <c r="B112" s="45" t="s">
        <v>97</v>
      </c>
      <c r="C112" s="19" t="s">
        <v>68</v>
      </c>
      <c r="D112" s="51">
        <v>17549.4</v>
      </c>
      <c r="E112" s="51">
        <v>13500</v>
      </c>
      <c r="F112" s="51">
        <f>+G112-17334.4</f>
        <v>673.5499999999993</v>
      </c>
      <c r="G112" s="9">
        <v>18007.95</v>
      </c>
      <c r="H112" s="23">
        <f>G112/D112</f>
        <v>1.0261290984307156</v>
      </c>
      <c r="I112" s="23">
        <f>+G112/E112</f>
        <v>1.3339222222222222</v>
      </c>
      <c r="J112" s="5"/>
    </row>
    <row r="113" spans="1:10" ht="25.5">
      <c r="A113" s="80"/>
      <c r="B113" s="88" t="s">
        <v>98</v>
      </c>
      <c r="C113" s="19" t="s">
        <v>68</v>
      </c>
      <c r="D113" s="57">
        <v>1133</v>
      </c>
      <c r="E113" s="57">
        <v>2500</v>
      </c>
      <c r="F113" s="57">
        <v>0</v>
      </c>
      <c r="G113" s="10">
        <v>150</v>
      </c>
      <c r="H113" s="35">
        <f>G113/D113</f>
        <v>0.1323918799646955</v>
      </c>
      <c r="I113" s="35">
        <f>+G113/E113</f>
        <v>0.06</v>
      </c>
      <c r="J113" s="5"/>
    </row>
    <row r="114" spans="1:10" ht="15.75">
      <c r="A114" s="80" t="s">
        <v>79</v>
      </c>
      <c r="B114" s="44" t="s">
        <v>99</v>
      </c>
      <c r="C114" s="21" t="s">
        <v>150</v>
      </c>
      <c r="D114" s="45"/>
      <c r="E114" s="45"/>
      <c r="F114" s="45"/>
      <c r="G114" s="89"/>
      <c r="H114" s="20"/>
      <c r="I114" s="20"/>
      <c r="J114" s="5"/>
    </row>
    <row r="115" spans="1:10" ht="12.75">
      <c r="A115" s="80"/>
      <c r="B115" s="90" t="s">
        <v>100</v>
      </c>
      <c r="C115" s="19" t="s">
        <v>68</v>
      </c>
      <c r="D115" s="45"/>
      <c r="E115" s="45"/>
      <c r="F115" s="45"/>
      <c r="G115" s="89"/>
      <c r="H115" s="20"/>
      <c r="I115" s="20"/>
      <c r="J115" s="5"/>
    </row>
    <row r="116" spans="1:10" ht="12.75">
      <c r="A116" s="80"/>
      <c r="B116" s="90" t="s">
        <v>101</v>
      </c>
      <c r="C116" s="19" t="s">
        <v>68</v>
      </c>
      <c r="D116" s="45"/>
      <c r="E116" s="45"/>
      <c r="F116" s="45"/>
      <c r="G116" s="89"/>
      <c r="H116" s="20"/>
      <c r="I116" s="20"/>
      <c r="J116" s="5"/>
    </row>
    <row r="117" spans="1:10" ht="12.75">
      <c r="A117" s="80"/>
      <c r="B117" s="90" t="s">
        <v>102</v>
      </c>
      <c r="C117" s="19" t="s">
        <v>68</v>
      </c>
      <c r="D117" s="45"/>
      <c r="E117" s="45"/>
      <c r="F117" s="45"/>
      <c r="G117" s="89"/>
      <c r="H117" s="20"/>
      <c r="I117" s="20"/>
      <c r="J117" s="5"/>
    </row>
    <row r="118" spans="1:10" ht="12.75">
      <c r="A118" s="80" t="s">
        <v>103</v>
      </c>
      <c r="B118" s="74" t="s">
        <v>104</v>
      </c>
      <c r="C118" s="91" t="s">
        <v>61</v>
      </c>
      <c r="D118" s="45"/>
      <c r="E118" s="45"/>
      <c r="F118" s="45"/>
      <c r="G118" s="89"/>
      <c r="H118" s="20"/>
      <c r="I118" s="20"/>
      <c r="J118" s="5"/>
    </row>
    <row r="119" spans="1:10" ht="12.75">
      <c r="A119" s="80"/>
      <c r="B119" s="92" t="s">
        <v>105</v>
      </c>
      <c r="C119" s="91" t="s">
        <v>68</v>
      </c>
      <c r="D119" s="45"/>
      <c r="E119" s="45"/>
      <c r="F119" s="45"/>
      <c r="G119" s="89"/>
      <c r="H119" s="20"/>
      <c r="I119" s="20"/>
      <c r="J119" s="5"/>
    </row>
    <row r="120" spans="1:10" ht="12.75">
      <c r="A120" s="80"/>
      <c r="B120" s="92" t="s">
        <v>106</v>
      </c>
      <c r="C120" s="91" t="s">
        <v>68</v>
      </c>
      <c r="D120" s="45"/>
      <c r="E120" s="45"/>
      <c r="F120" s="45"/>
      <c r="G120" s="89"/>
      <c r="H120" s="20"/>
      <c r="I120" s="20"/>
      <c r="J120" s="5"/>
    </row>
    <row r="121" spans="1:10" ht="12.75">
      <c r="A121" s="80"/>
      <c r="B121" s="92" t="s">
        <v>107</v>
      </c>
      <c r="C121" s="91" t="s">
        <v>68</v>
      </c>
      <c r="D121" s="37"/>
      <c r="E121" s="93"/>
      <c r="F121" s="93"/>
      <c r="G121" s="89"/>
      <c r="H121" s="20"/>
      <c r="I121" s="20"/>
      <c r="J121" s="5"/>
    </row>
    <row r="122" spans="1:10" ht="12.75">
      <c r="A122" s="74">
        <v>4</v>
      </c>
      <c r="B122" s="94" t="s">
        <v>108</v>
      </c>
      <c r="C122" s="21" t="s">
        <v>25</v>
      </c>
      <c r="D122" s="85">
        <f>+D123+D139</f>
        <v>128930.18</v>
      </c>
      <c r="E122" s="86">
        <f>+E123+E139</f>
        <v>148300</v>
      </c>
      <c r="F122" s="86">
        <f>+F123+F139</f>
        <v>16162.669999999998</v>
      </c>
      <c r="G122" s="86">
        <f>+G123+G139</f>
        <v>139139.37</v>
      </c>
      <c r="H122" s="20">
        <f aca="true" t="shared" si="5" ref="H122:H130">G122/D122</f>
        <v>1.07918386525172</v>
      </c>
      <c r="I122" s="20">
        <f aca="true" t="shared" si="6" ref="I122:I128">+G122/E122</f>
        <v>0.9382290627107215</v>
      </c>
      <c r="J122" s="5"/>
    </row>
    <row r="123" spans="1:10" ht="12.75">
      <c r="A123" s="80" t="s">
        <v>109</v>
      </c>
      <c r="B123" s="95" t="s">
        <v>110</v>
      </c>
      <c r="C123" s="21" t="s">
        <v>25</v>
      </c>
      <c r="D123" s="85">
        <f>+D124+D130</f>
        <v>64673.67999999999</v>
      </c>
      <c r="E123" s="85">
        <f>E124+E130</f>
        <v>85550</v>
      </c>
      <c r="F123" s="85">
        <f>F124+F130</f>
        <v>10091.710000000001</v>
      </c>
      <c r="G123" s="85">
        <f>G124+G130</f>
        <v>76190.94</v>
      </c>
      <c r="H123" s="20">
        <f t="shared" si="5"/>
        <v>1.178082645057464</v>
      </c>
      <c r="I123" s="20">
        <f t="shared" si="6"/>
        <v>0.8906012857977791</v>
      </c>
      <c r="J123" s="5"/>
    </row>
    <row r="124" spans="1:10" ht="12.75">
      <c r="A124" s="77" t="s">
        <v>111</v>
      </c>
      <c r="B124" s="74" t="s">
        <v>86</v>
      </c>
      <c r="C124" s="21" t="s">
        <v>25</v>
      </c>
      <c r="D124" s="85">
        <f>D125+D127+D129</f>
        <v>47710.7</v>
      </c>
      <c r="E124" s="85">
        <f>E125+E127+E129</f>
        <v>55800</v>
      </c>
      <c r="F124" s="85">
        <f>F125+F127+F129</f>
        <v>4659.4000000000015</v>
      </c>
      <c r="G124" s="85">
        <f>G125+G127+G129</f>
        <v>48580.5</v>
      </c>
      <c r="H124" s="20">
        <f t="shared" si="5"/>
        <v>1.018230711349865</v>
      </c>
      <c r="I124" s="20">
        <f t="shared" si="6"/>
        <v>0.8706182795698925</v>
      </c>
      <c r="J124" s="5"/>
    </row>
    <row r="125" spans="1:10" ht="12.75">
      <c r="A125" s="80"/>
      <c r="B125" s="45" t="s">
        <v>112</v>
      </c>
      <c r="C125" s="19" t="s">
        <v>68</v>
      </c>
      <c r="D125" s="79">
        <v>47101.7</v>
      </c>
      <c r="E125" s="51">
        <v>54900</v>
      </c>
      <c r="F125" s="51">
        <f>G125-43451.6</f>
        <v>4648.4000000000015</v>
      </c>
      <c r="G125" s="89">
        <f>48350-G131</f>
        <v>48100</v>
      </c>
      <c r="H125" s="23">
        <f t="shared" si="5"/>
        <v>1.021194564102782</v>
      </c>
      <c r="I125" s="23">
        <f t="shared" si="6"/>
        <v>0.8761384335154827</v>
      </c>
      <c r="J125" s="5"/>
    </row>
    <row r="126" spans="1:10" ht="12.75">
      <c r="A126" s="80"/>
      <c r="B126" s="45" t="s">
        <v>152</v>
      </c>
      <c r="C126" s="19" t="s">
        <v>68</v>
      </c>
      <c r="D126" s="79">
        <v>18794.6</v>
      </c>
      <c r="E126" s="51">
        <v>26300</v>
      </c>
      <c r="F126" s="51">
        <f>G126-11590</f>
        <v>190</v>
      </c>
      <c r="G126" s="37">
        <v>11780</v>
      </c>
      <c r="H126" s="23">
        <f t="shared" si="5"/>
        <v>0.626775776020772</v>
      </c>
      <c r="I126" s="23">
        <f t="shared" si="6"/>
        <v>0.4479087452471483</v>
      </c>
      <c r="J126" s="5"/>
    </row>
    <row r="127" spans="1:10" ht="12.75">
      <c r="A127" s="80"/>
      <c r="B127" s="45" t="s">
        <v>113</v>
      </c>
      <c r="C127" s="19" t="s">
        <v>68</v>
      </c>
      <c r="D127" s="79">
        <v>444.4</v>
      </c>
      <c r="E127" s="51">
        <v>800</v>
      </c>
      <c r="F127" s="51">
        <f>F128</f>
        <v>11</v>
      </c>
      <c r="G127" s="37">
        <f>G128</f>
        <v>366</v>
      </c>
      <c r="H127" s="23">
        <f t="shared" si="5"/>
        <v>0.8235823582358236</v>
      </c>
      <c r="I127" s="23">
        <f t="shared" si="6"/>
        <v>0.4575</v>
      </c>
      <c r="J127" s="5"/>
    </row>
    <row r="128" spans="1:10" ht="15.75">
      <c r="A128" s="80"/>
      <c r="B128" s="45" t="s">
        <v>114</v>
      </c>
      <c r="C128" s="19" t="s">
        <v>68</v>
      </c>
      <c r="D128" s="79">
        <f>+D127</f>
        <v>444.4</v>
      </c>
      <c r="E128" s="51">
        <f>+E127</f>
        <v>800</v>
      </c>
      <c r="F128" s="51">
        <f>G128-355</f>
        <v>11</v>
      </c>
      <c r="G128" s="37">
        <v>366</v>
      </c>
      <c r="H128" s="23">
        <f t="shared" si="5"/>
        <v>0.8235823582358236</v>
      </c>
      <c r="I128" s="23">
        <f t="shared" si="6"/>
        <v>0.4575</v>
      </c>
      <c r="J128" s="5"/>
    </row>
    <row r="129" spans="1:10" ht="12.75">
      <c r="A129" s="80"/>
      <c r="B129" s="45" t="s">
        <v>115</v>
      </c>
      <c r="C129" s="19" t="s">
        <v>68</v>
      </c>
      <c r="D129" s="78">
        <v>164.6</v>
      </c>
      <c r="E129" s="51">
        <v>100</v>
      </c>
      <c r="F129" s="51">
        <f>G129-114.5</f>
        <v>0</v>
      </c>
      <c r="G129" s="89">
        <v>114.5</v>
      </c>
      <c r="H129" s="23">
        <f t="shared" si="5"/>
        <v>0.695625759416768</v>
      </c>
      <c r="I129" s="23"/>
      <c r="J129" s="5"/>
    </row>
    <row r="130" spans="1:10" ht="12.75">
      <c r="A130" s="77" t="s">
        <v>145</v>
      </c>
      <c r="B130" s="74" t="s">
        <v>92</v>
      </c>
      <c r="C130" s="21" t="s">
        <v>25</v>
      </c>
      <c r="D130" s="86">
        <f>+D131+D134+D138</f>
        <v>16962.98</v>
      </c>
      <c r="E130" s="85">
        <f>E131+E134+E138</f>
        <v>29750</v>
      </c>
      <c r="F130" s="85">
        <f>F131+F134+F138</f>
        <v>5432.3099999999995</v>
      </c>
      <c r="G130" s="85">
        <f>G131+G134+G138</f>
        <v>27610.440000000002</v>
      </c>
      <c r="H130" s="20">
        <f t="shared" si="5"/>
        <v>1.6276880595272767</v>
      </c>
      <c r="I130" s="20">
        <f>+G130/E130</f>
        <v>0.9280820168067228</v>
      </c>
      <c r="J130" s="5"/>
    </row>
    <row r="131" spans="1:10" ht="12.75">
      <c r="A131" s="80"/>
      <c r="B131" s="45" t="s">
        <v>116</v>
      </c>
      <c r="C131" s="19" t="s">
        <v>68</v>
      </c>
      <c r="D131" s="45"/>
      <c r="E131" s="51"/>
      <c r="F131" s="51">
        <f>G131-250</f>
        <v>0</v>
      </c>
      <c r="G131" s="37">
        <v>250</v>
      </c>
      <c r="H131" s="20"/>
      <c r="I131" s="20"/>
      <c r="J131" s="5"/>
    </row>
    <row r="132" spans="1:10" ht="15.75">
      <c r="A132" s="80"/>
      <c r="B132" s="45" t="s">
        <v>117</v>
      </c>
      <c r="C132" s="19" t="s">
        <v>68</v>
      </c>
      <c r="D132" s="45"/>
      <c r="E132" s="51"/>
      <c r="F132" s="51"/>
      <c r="G132" s="89"/>
      <c r="H132" s="20"/>
      <c r="I132" s="20"/>
      <c r="J132" s="5"/>
    </row>
    <row r="133" spans="1:10" ht="12.75">
      <c r="A133" s="80"/>
      <c r="B133" s="45" t="s">
        <v>118</v>
      </c>
      <c r="C133" s="19"/>
      <c r="D133" s="45"/>
      <c r="E133" s="51"/>
      <c r="F133" s="51"/>
      <c r="G133" s="89"/>
      <c r="H133" s="20"/>
      <c r="I133" s="20"/>
      <c r="J133" s="5"/>
    </row>
    <row r="134" spans="1:10" ht="12.75">
      <c r="A134" s="80"/>
      <c r="B134" s="45" t="s">
        <v>146</v>
      </c>
      <c r="C134" s="19" t="s">
        <v>68</v>
      </c>
      <c r="D134" s="79">
        <f>D135+D136+D137</f>
        <v>16359.98</v>
      </c>
      <c r="E134" s="51">
        <f>E135+E136+E137</f>
        <v>28250</v>
      </c>
      <c r="F134" s="51">
        <f>F135+F136+F137</f>
        <v>5412.3099999999995</v>
      </c>
      <c r="G134" s="68">
        <f>G135+G136+G137</f>
        <v>26613.440000000002</v>
      </c>
      <c r="H134" s="23">
        <f aca="true" t="shared" si="7" ref="H134:H141">G134/D134</f>
        <v>1.6267403749882337</v>
      </c>
      <c r="I134" s="23">
        <f aca="true" t="shared" si="8" ref="I134:I141">+G134/E134</f>
        <v>0.9420686725663717</v>
      </c>
      <c r="J134" s="5"/>
    </row>
    <row r="135" spans="1:10" ht="15.75">
      <c r="A135" s="80"/>
      <c r="B135" s="45" t="s">
        <v>119</v>
      </c>
      <c r="C135" s="19" t="s">
        <v>68</v>
      </c>
      <c r="D135" s="79">
        <v>9354.28</v>
      </c>
      <c r="E135" s="51">
        <v>14800</v>
      </c>
      <c r="F135" s="51">
        <f>G135-9043</f>
        <v>2336.3099999999995</v>
      </c>
      <c r="G135" s="51">
        <v>11379.31</v>
      </c>
      <c r="H135" s="23">
        <f t="shared" si="7"/>
        <v>1.2164816533180531</v>
      </c>
      <c r="I135" s="23">
        <f t="shared" si="8"/>
        <v>0.7688722972972972</v>
      </c>
      <c r="J135" s="5"/>
    </row>
    <row r="136" spans="1:10" ht="12.75">
      <c r="A136" s="80"/>
      <c r="B136" s="45" t="s">
        <v>120</v>
      </c>
      <c r="C136" s="19" t="s">
        <v>68</v>
      </c>
      <c r="D136" s="79">
        <v>634.5</v>
      </c>
      <c r="E136" s="51">
        <v>5200</v>
      </c>
      <c r="F136" s="51">
        <f>G136-5569.22</f>
        <v>2068.37</v>
      </c>
      <c r="G136" s="51">
        <v>7637.59</v>
      </c>
      <c r="H136" s="23">
        <f t="shared" si="7"/>
        <v>12.037178881008668</v>
      </c>
      <c r="I136" s="23">
        <f t="shared" si="8"/>
        <v>1.4687673076923078</v>
      </c>
      <c r="J136" s="5"/>
    </row>
    <row r="137" spans="1:10" ht="12.75">
      <c r="A137" s="80"/>
      <c r="B137" s="45" t="s">
        <v>121</v>
      </c>
      <c r="C137" s="19" t="s">
        <v>68</v>
      </c>
      <c r="D137" s="79">
        <v>6371.2</v>
      </c>
      <c r="E137" s="51">
        <v>8250</v>
      </c>
      <c r="F137" s="51">
        <f>G137-6588.91</f>
        <v>1007.6300000000001</v>
      </c>
      <c r="G137" s="51">
        <v>7596.54</v>
      </c>
      <c r="H137" s="23">
        <f t="shared" si="7"/>
        <v>1.1923248367654444</v>
      </c>
      <c r="I137" s="23">
        <f t="shared" si="8"/>
        <v>0.9207927272727273</v>
      </c>
      <c r="J137" s="5"/>
    </row>
    <row r="138" spans="1:10" ht="25.5">
      <c r="A138" s="80"/>
      <c r="B138" s="96" t="s">
        <v>122</v>
      </c>
      <c r="C138" s="19" t="s">
        <v>68</v>
      </c>
      <c r="D138" s="114">
        <v>603</v>
      </c>
      <c r="E138" s="57">
        <v>1500</v>
      </c>
      <c r="F138" s="57">
        <f>G138-727</f>
        <v>20</v>
      </c>
      <c r="G138" s="57">
        <v>747</v>
      </c>
      <c r="H138" s="35">
        <f t="shared" si="7"/>
        <v>1.2388059701492538</v>
      </c>
      <c r="I138" s="35">
        <f t="shared" si="8"/>
        <v>0.498</v>
      </c>
      <c r="J138" s="5"/>
    </row>
    <row r="139" spans="1:10" ht="12.75">
      <c r="A139" s="80" t="s">
        <v>123</v>
      </c>
      <c r="B139" s="97" t="s">
        <v>124</v>
      </c>
      <c r="C139" s="21" t="s">
        <v>25</v>
      </c>
      <c r="D139" s="85">
        <f>+D140+D151</f>
        <v>64256.50000000001</v>
      </c>
      <c r="E139" s="85">
        <f>E140+E151</f>
        <v>62750</v>
      </c>
      <c r="F139" s="85">
        <f>F140+F151</f>
        <v>6070.959999999998</v>
      </c>
      <c r="G139" s="85">
        <f>G140+G151</f>
        <v>62948.42999999999</v>
      </c>
      <c r="H139" s="20">
        <f t="shared" si="7"/>
        <v>0.9796429933158511</v>
      </c>
      <c r="I139" s="20">
        <f t="shared" si="8"/>
        <v>1.0031622310756971</v>
      </c>
      <c r="J139" s="5"/>
    </row>
    <row r="140" spans="1:10" ht="12.75">
      <c r="A140" s="77" t="s">
        <v>147</v>
      </c>
      <c r="B140" s="97" t="s">
        <v>125</v>
      </c>
      <c r="C140" s="21" t="s">
        <v>25</v>
      </c>
      <c r="D140" s="85">
        <f>D141+D144+D147+D150</f>
        <v>51882.600000000006</v>
      </c>
      <c r="E140" s="85">
        <f>E141+E144+E147+E150</f>
        <v>50550</v>
      </c>
      <c r="F140" s="85">
        <f>F141+F144+F147+F150</f>
        <v>5152.149999999999</v>
      </c>
      <c r="G140" s="85">
        <f>G141+G144+G147+G150</f>
        <v>51397.67</v>
      </c>
      <c r="H140" s="20">
        <f t="shared" si="7"/>
        <v>0.9906533211519853</v>
      </c>
      <c r="I140" s="20">
        <f t="shared" si="8"/>
        <v>1.0167689416419385</v>
      </c>
      <c r="J140" s="5"/>
    </row>
    <row r="141" spans="1:10" ht="12.75">
      <c r="A141" s="80"/>
      <c r="B141" s="98" t="s">
        <v>126</v>
      </c>
      <c r="C141" s="21" t="s">
        <v>25</v>
      </c>
      <c r="D141" s="79">
        <v>20062.4</v>
      </c>
      <c r="E141" s="51">
        <v>20500</v>
      </c>
      <c r="F141" s="51">
        <f>G141-18703.19</f>
        <v>1755.6599999999999</v>
      </c>
      <c r="G141" s="37">
        <v>20458.85</v>
      </c>
      <c r="H141" s="23">
        <f t="shared" si="7"/>
        <v>1.0197608461599807</v>
      </c>
      <c r="I141" s="23">
        <f t="shared" si="8"/>
        <v>0.9979926829268292</v>
      </c>
      <c r="J141" s="5"/>
    </row>
    <row r="142" spans="1:10" ht="12.75">
      <c r="A142" s="80"/>
      <c r="B142" s="98" t="s">
        <v>127</v>
      </c>
      <c r="C142" s="19" t="s">
        <v>68</v>
      </c>
      <c r="D142" s="79"/>
      <c r="E142" s="79"/>
      <c r="F142" s="79"/>
      <c r="G142" s="45"/>
      <c r="H142" s="23"/>
      <c r="I142" s="23"/>
      <c r="J142" s="5"/>
    </row>
    <row r="143" spans="1:10" ht="12.75">
      <c r="A143" s="80"/>
      <c r="B143" s="98" t="s">
        <v>128</v>
      </c>
      <c r="C143" s="19" t="s">
        <v>68</v>
      </c>
      <c r="D143" s="79"/>
      <c r="E143" s="51"/>
      <c r="F143" s="51"/>
      <c r="G143" s="45"/>
      <c r="H143" s="23"/>
      <c r="I143" s="23"/>
      <c r="J143" s="5"/>
    </row>
    <row r="144" spans="1:10" ht="12.75">
      <c r="A144" s="80"/>
      <c r="B144" s="98" t="s">
        <v>129</v>
      </c>
      <c r="C144" s="21" t="s">
        <v>25</v>
      </c>
      <c r="D144" s="79">
        <v>10732.2</v>
      </c>
      <c r="E144" s="51">
        <v>4500</v>
      </c>
      <c r="F144" s="51">
        <f>F145</f>
        <v>367.9399999999996</v>
      </c>
      <c r="G144" s="37">
        <f>G145</f>
        <v>7134.15</v>
      </c>
      <c r="H144" s="23">
        <f>G144/D144</f>
        <v>0.6647425504556381</v>
      </c>
      <c r="I144" s="23">
        <f>+G144/E144</f>
        <v>1.5853666666666666</v>
      </c>
      <c r="J144" s="5"/>
    </row>
    <row r="145" spans="1:10" ht="12.75">
      <c r="A145" s="80"/>
      <c r="B145" s="98" t="s">
        <v>130</v>
      </c>
      <c r="C145" s="19" t="s">
        <v>68</v>
      </c>
      <c r="D145" s="79">
        <v>5531.2</v>
      </c>
      <c r="E145" s="51">
        <f>+E144</f>
        <v>4500</v>
      </c>
      <c r="F145" s="51">
        <f>G145-6766.21</f>
        <v>367.9399999999996</v>
      </c>
      <c r="G145" s="37">
        <v>7134.15</v>
      </c>
      <c r="H145" s="23">
        <f>G145/D145</f>
        <v>1.2898014897309806</v>
      </c>
      <c r="I145" s="23">
        <f>+G145/E145</f>
        <v>1.5853666666666666</v>
      </c>
      <c r="J145" s="5"/>
    </row>
    <row r="146" spans="1:10" ht="12.75">
      <c r="A146" s="80"/>
      <c r="B146" s="98" t="s">
        <v>128</v>
      </c>
      <c r="C146" s="19" t="s">
        <v>68</v>
      </c>
      <c r="D146" s="79"/>
      <c r="E146" s="51"/>
      <c r="F146" s="51"/>
      <c r="G146" s="45"/>
      <c r="H146" s="23"/>
      <c r="I146" s="23"/>
      <c r="J146" s="5"/>
    </row>
    <row r="147" spans="1:10" ht="12.75">
      <c r="A147" s="80"/>
      <c r="B147" s="98" t="s">
        <v>131</v>
      </c>
      <c r="C147" s="21" t="s">
        <v>25</v>
      </c>
      <c r="D147" s="79"/>
      <c r="E147" s="51"/>
      <c r="F147" s="51">
        <f>G147-505</f>
        <v>0</v>
      </c>
      <c r="G147" s="45">
        <v>505</v>
      </c>
      <c r="H147" s="23"/>
      <c r="I147" s="23"/>
      <c r="J147" s="5"/>
    </row>
    <row r="148" spans="1:10" ht="12.75">
      <c r="A148" s="80"/>
      <c r="B148" s="98" t="s">
        <v>127</v>
      </c>
      <c r="C148" s="19" t="s">
        <v>68</v>
      </c>
      <c r="D148" s="79"/>
      <c r="E148" s="51"/>
      <c r="F148" s="51"/>
      <c r="G148" s="45"/>
      <c r="H148" s="23"/>
      <c r="I148" s="23"/>
      <c r="J148" s="5"/>
    </row>
    <row r="149" spans="1:10" ht="12.75">
      <c r="A149" s="80"/>
      <c r="B149" s="98" t="s">
        <v>128</v>
      </c>
      <c r="C149" s="19" t="s">
        <v>68</v>
      </c>
      <c r="D149" s="79"/>
      <c r="E149" s="51"/>
      <c r="F149" s="51"/>
      <c r="G149" s="45"/>
      <c r="H149" s="23"/>
      <c r="I149" s="23"/>
      <c r="J149" s="5"/>
    </row>
    <row r="150" spans="1:10" ht="12.75">
      <c r="A150" s="80"/>
      <c r="B150" s="98" t="s">
        <v>132</v>
      </c>
      <c r="C150" s="19" t="s">
        <v>68</v>
      </c>
      <c r="D150" s="79">
        <v>21088</v>
      </c>
      <c r="E150" s="51">
        <v>25550</v>
      </c>
      <c r="F150" s="51">
        <f>G150-20271.12</f>
        <v>3028.5499999999993</v>
      </c>
      <c r="G150" s="89">
        <f>23804.67-G147</f>
        <v>23299.67</v>
      </c>
      <c r="H150" s="23">
        <f>G150/D150</f>
        <v>1.1048781297420334</v>
      </c>
      <c r="I150" s="23">
        <f>+G150/E150</f>
        <v>0.9119244618395302</v>
      </c>
      <c r="J150" s="5"/>
    </row>
    <row r="151" spans="1:10" ht="12.75">
      <c r="A151" s="77" t="s">
        <v>133</v>
      </c>
      <c r="B151" s="97" t="s">
        <v>134</v>
      </c>
      <c r="C151" s="21" t="s">
        <v>25</v>
      </c>
      <c r="D151" s="105">
        <f>D152+D153+D154+D155+D156</f>
        <v>12373.900000000001</v>
      </c>
      <c r="E151" s="85">
        <f>E152+E153+E154+E155+E156</f>
        <v>12200</v>
      </c>
      <c r="F151" s="85">
        <f>F152+F153+F154+F155+F156</f>
        <v>918.8099999999995</v>
      </c>
      <c r="G151" s="85">
        <f>G152+G153+G154+G155+G156</f>
        <v>11550.759999999998</v>
      </c>
      <c r="H151" s="20">
        <f>G151/D151</f>
        <v>0.9334777232723714</v>
      </c>
      <c r="I151" s="20">
        <f>+G151/E151</f>
        <v>0.9467836065573769</v>
      </c>
      <c r="J151" s="5"/>
    </row>
    <row r="152" spans="1:10" ht="12.75">
      <c r="A152" s="80"/>
      <c r="B152" s="81" t="s">
        <v>153</v>
      </c>
      <c r="C152" s="19" t="s">
        <v>68</v>
      </c>
      <c r="D152" s="79">
        <v>5496.6</v>
      </c>
      <c r="E152" s="51">
        <v>5500</v>
      </c>
      <c r="F152" s="51">
        <f>G152-4841.14</f>
        <v>496.0199999999995</v>
      </c>
      <c r="G152" s="89">
        <v>5337.16</v>
      </c>
      <c r="H152" s="23">
        <f>G152/D152</f>
        <v>0.9709929774769857</v>
      </c>
      <c r="I152" s="23">
        <f>+G152/E152</f>
        <v>0.9703927272727273</v>
      </c>
      <c r="J152" s="5"/>
    </row>
    <row r="153" spans="1:10" ht="12.75">
      <c r="A153" s="80"/>
      <c r="B153" s="45" t="s">
        <v>135</v>
      </c>
      <c r="C153" s="19" t="s">
        <v>68</v>
      </c>
      <c r="D153" s="79">
        <v>3371.5</v>
      </c>
      <c r="E153" s="51">
        <v>4500</v>
      </c>
      <c r="F153" s="51">
        <f>G153-3185.36</f>
        <v>252.35999999999967</v>
      </c>
      <c r="G153" s="37">
        <v>3437.72</v>
      </c>
      <c r="H153" s="23">
        <f>G153/D153</f>
        <v>1.0196411092985318</v>
      </c>
      <c r="I153" s="23">
        <f>+G153/E153</f>
        <v>0.7639377777777777</v>
      </c>
      <c r="J153" s="5"/>
    </row>
    <row r="154" spans="1:10" ht="12.75">
      <c r="A154" s="80"/>
      <c r="B154" s="82" t="s">
        <v>136</v>
      </c>
      <c r="C154" s="19" t="s">
        <v>68</v>
      </c>
      <c r="D154" s="79"/>
      <c r="E154" s="51"/>
      <c r="F154" s="51">
        <f>G154-20</f>
        <v>0</v>
      </c>
      <c r="G154" s="37">
        <v>20</v>
      </c>
      <c r="H154" s="23"/>
      <c r="I154" s="23"/>
      <c r="J154" s="5"/>
    </row>
    <row r="155" spans="1:10" ht="25.5">
      <c r="A155" s="47"/>
      <c r="B155" s="59" t="s">
        <v>137</v>
      </c>
      <c r="C155" s="19" t="s">
        <v>68</v>
      </c>
      <c r="D155" s="115"/>
      <c r="E155" s="57"/>
      <c r="F155" s="57">
        <f>G155-25</f>
        <v>0</v>
      </c>
      <c r="G155" s="34">
        <v>25</v>
      </c>
      <c r="H155" s="35"/>
      <c r="I155" s="35"/>
      <c r="J155" s="5"/>
    </row>
    <row r="156" spans="1:10" ht="12.75">
      <c r="A156" s="99"/>
      <c r="B156" s="100" t="s">
        <v>138</v>
      </c>
      <c r="C156" s="101" t="s">
        <v>68</v>
      </c>
      <c r="D156" s="116">
        <v>3505.8</v>
      </c>
      <c r="E156" s="102">
        <v>2200</v>
      </c>
      <c r="F156" s="102">
        <f>G156-2560.45</f>
        <v>170.4300000000003</v>
      </c>
      <c r="G156" s="103">
        <f>2775.88-G154-G155</f>
        <v>2730.88</v>
      </c>
      <c r="H156" s="104">
        <f>G156/D156</f>
        <v>0.7789605796109305</v>
      </c>
      <c r="I156" s="104">
        <f>+G156/E156</f>
        <v>1.241309090909091</v>
      </c>
      <c r="J156" s="5"/>
    </row>
  </sheetData>
  <mergeCells count="12">
    <mergeCell ref="H7:I7"/>
    <mergeCell ref="A3:I3"/>
    <mergeCell ref="A4:I4"/>
    <mergeCell ref="A5:I5"/>
    <mergeCell ref="A7:A8"/>
    <mergeCell ref="B9:C9"/>
    <mergeCell ref="F7:F8"/>
    <mergeCell ref="E7:E8"/>
    <mergeCell ref="G7:G8"/>
    <mergeCell ref="B7:B8"/>
    <mergeCell ref="C7:C8"/>
    <mergeCell ref="D7:D8"/>
  </mergeCells>
  <printOptions/>
  <pageMargins left="0.24" right="0.25" top="0.37" bottom="0.22" header="0.5" footer="0.5"/>
  <pageSetup horizontalDpi="600" verticalDpi="600" orientation="portrait" paperSize="9" r:id="rId1"/>
  <ignoredErrors>
    <ignoredError sqref="E24 E9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 DAO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Thanh An</cp:lastModifiedBy>
  <cp:lastPrinted>2013-10-18T08:36:29Z</cp:lastPrinted>
  <dcterms:created xsi:type="dcterms:W3CDTF">2012-10-04T08:51:42Z</dcterms:created>
  <dcterms:modified xsi:type="dcterms:W3CDTF">2013-10-29T06:40:57Z</dcterms:modified>
  <cp:category/>
  <cp:version/>
  <cp:contentType/>
  <cp:contentStatus/>
</cp:coreProperties>
</file>