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3" sheetId="2" r:id="rId2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<sst xmlns="http://schemas.openxmlformats.org/spreadsheetml/2006/main" count="314" uniqueCount="161">
  <si>
    <t>Chỉ tiêu</t>
  </si>
  <si>
    <t>ĐVT</t>
  </si>
  <si>
    <t>% so sánh với</t>
  </si>
  <si>
    <t>Cùng kỳ</t>
  </si>
  <si>
    <t>Kế hoạch</t>
  </si>
  <si>
    <t>A</t>
  </si>
  <si>
    <t>B</t>
  </si>
  <si>
    <t>C</t>
  </si>
  <si>
    <t>4=3/1</t>
  </si>
  <si>
    <t>5=3/2</t>
  </si>
  <si>
    <t>I.</t>
  </si>
  <si>
    <t>TRỒNG TRỌT</t>
  </si>
  <si>
    <t>Tổng DT gieo trồng</t>
  </si>
  <si>
    <t>Ha</t>
  </si>
  <si>
    <t>1.1.</t>
  </si>
  <si>
    <t>Cây lương thực có hạt</t>
  </si>
  <si>
    <t>Cây lúa</t>
  </si>
  <si>
    <t xml:space="preserve"> - Diện tích thu hoạch</t>
  </si>
  <si>
    <t xml:space="preserve"> - Năng suất bình quân</t>
  </si>
  <si>
    <t>Tạ/ha</t>
  </si>
  <si>
    <t xml:space="preserve"> - Sản lượng</t>
  </si>
  <si>
    <t>tấn</t>
  </si>
  <si>
    <t xml:space="preserve"> Vụ Đông - Xuân </t>
  </si>
  <si>
    <t xml:space="preserve"> - DT gieo sạ</t>
  </si>
  <si>
    <t>ha</t>
  </si>
  <si>
    <t>Cây màu</t>
  </si>
  <si>
    <t>Cây bắp</t>
  </si>
  <si>
    <t xml:space="preserve"> - Diện tích gieo trồng</t>
  </si>
  <si>
    <t xml:space="preserve"> - Diện tích thu hoạch</t>
  </si>
  <si>
    <t>''</t>
  </si>
  <si>
    <t xml:space="preserve"> - Năng suất 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</si>
  <si>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</si>
  <si>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</si>
  <si>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</si>
  <si>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</si>
  <si>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</si>
  <si>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</si>
  <si>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</si>
  <si>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</si>
  <si>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</si>
  <si>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</si>
  <si>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</si>
  <si>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</si>
  <si>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</si>
  <si>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</si>
  <si>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</si>
  <si>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</si>
  <si>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</si>
  <si>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</si>
  <si>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</si>
  <si>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</si>
  <si>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</si>
  <si>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</si>
  <si>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</si>
  <si>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</si>
  <si>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</si>
  <si>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</si>
  <si>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"</t>
  </si>
  <si>
    <t xml:space="preserve"> + Cây hàng năm khác</t>
  </si>
  <si>
    <t xml:space="preserve"> + Dây thuốc cá</t>
  </si>
  <si>
    <t>Cây lâu năm</t>
  </si>
  <si>
    <t>Cây ăn quả</t>
  </si>
  <si>
    <t>II</t>
  </si>
  <si>
    <t>CHĂN NUÔI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</si>
  <si>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</si>
  <si>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</si>
  <si>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</si>
  <si>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</si>
  <si>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</si>
  <si>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</si>
  <si>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</si>
  <si>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</si>
  <si>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</si>
  <si>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</si>
  <si>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</si>
  <si>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</si>
  <si>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</si>
  <si>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</si>
  <si>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</si>
  <si>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</si>
  <si>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</si>
  <si>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</si>
  <si>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</si>
  <si>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</si>
  <si>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</si>
  <si>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</si>
  <si>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</si>
  <si>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</si>
  <si>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</si>
  <si>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</si>
  <si>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</si>
  <si>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</si>
  <si>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</si>
  <si>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</si>
  <si>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</si>
  <si>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</si>
  <si>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</si>
  <si>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</si>
  <si>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</si>
  <si>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</si>
  <si>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</si>
  <si>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</si>
  <si>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</si>
  <si>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</si>
  <si>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</si>
  <si>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</si>
  <si>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sản xuất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</si>
  <si>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</si>
  <si>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</si>
  <si>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</si>
  <si>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</si>
  <si>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</si>
  <si>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</si>
  <si>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</si>
  <si>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</si>
  <si>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</si>
  <si>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</si>
  <si>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</si>
  <si>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</si>
  <si>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>4.1.2.</t>
  </si>
  <si>
    <t xml:space="preserve"> - Sản lượng cá nuôi</t>
  </si>
  <si>
    <r>
      <t xml:space="preserve">    Trong đó: Cá giò, cá song</t>
    </r>
  </si>
  <si>
    <t xml:space="preserve">     …</t>
  </si>
  <si>
    <t xml:space="preserve"> - Sản lượng tôm nuôi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</si>
  <si>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</si>
  <si>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</si>
  <si>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</si>
  <si>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</si>
  <si>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</si>
  <si>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</si>
  <si>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</si>
  <si>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</si>
  <si>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</si>
  <si>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</si>
  <si>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</si>
  <si>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</si>
  <si>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</si>
  <si>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</si>
  <si>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</si>
  <si>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</si>
  <si>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</si>
  <si>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</si>
  <si>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</si>
  <si>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</si>
  <si>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</si>
  <si>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SẢN XUẤT NÔNG NGHIỆP</t>
  </si>
  <si>
    <t>STT</t>
  </si>
  <si>
    <t>Vụ Hè Thu</t>
  </si>
  <si>
    <t xml:space="preserve"> - Diện tích</t>
  </si>
  <si>
    <t>Sở Nông nghiệp và PTNT tỉnh Trà Vinh</t>
  </si>
  <si>
    <t>BÁO CÁO THÁNG VỀ SẢN XUẤT NÔNG, LÂM, DIÊM NGHIỆP, THUỶ SẢN</t>
  </si>
  <si>
    <t>KH 
vụ/năm
2014</t>
  </si>
  <si>
    <t xml:space="preserve">                       Cá lóc</t>
  </si>
  <si>
    <t xml:space="preserve">    Trong đó:  cá tra, cá ba sa</t>
  </si>
  <si>
    <t>Tính đến ngày 15/4/2014</t>
  </si>
  <si>
    <t>TH 
tháng 04</t>
  </si>
  <si>
    <t>Ước TH kỳ này</t>
  </si>
  <si>
    <t>Cùng kỳ năm 2013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</si>
  <si>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</si>
  <si>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</si>
  <si>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r>
      <t>Trong đó:</t>
    </r>
    <r>
      <rPr>
        <sz val="10"/>
        <rFont val="Times New Roman"/>
        <family val="1"/>
      </rPr>
      <t>- Cá các loại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</si>
</sst>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_(* #,##0.0000_);_(* \(#,##0.0000\);_(* &quot;-&quot;??_);_(@_)"/>
  </numFmts>
  <fonts count="19">
    <font>
      <sz val="10"/>
      <name val="Arial"/>
      <family val="0"/>
    </font>
    <font>
      <i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165" fontId="12" fillId="0" borderId="1" xfId="0" applyNumberFormat="1" applyFont="1" applyBorder="1" applyAlignment="1">
      <alignment vertical="center"/>
    </xf>
    <xf numFmtId="165" fontId="12" fillId="0" borderId="1" xfId="15" applyNumberFormat="1" applyFont="1" applyBorder="1" applyAlignment="1">
      <alignment vertical="center"/>
    </xf>
    <xf numFmtId="165" fontId="12" fillId="0" borderId="1" xfId="15" applyNumberFormat="1" applyFont="1" applyBorder="1" applyAlignment="1">
      <alignment vertical="center" wrapText="1"/>
    </xf>
    <xf numFmtId="10" fontId="12" fillId="0" borderId="1" xfId="19" applyNumberFormat="1" applyFont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0" fontId="12" fillId="0" borderId="2" xfId="19" applyNumberFormat="1" applyFont="1" applyBorder="1" applyAlignment="1">
      <alignment vertical="center"/>
    </xf>
    <xf numFmtId="165" fontId="12" fillId="0" borderId="1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13" fillId="0" borderId="1" xfId="0" applyNumberFormat="1" applyFont="1" applyFill="1" applyBorder="1" applyAlignment="1" quotePrefix="1">
      <alignment horizontal="center" vertical="center" wrapText="1"/>
    </xf>
    <xf numFmtId="165" fontId="12" fillId="0" borderId="3" xfId="15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9" fontId="7" fillId="0" borderId="0" xfId="15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15" applyNumberFormat="1" applyFont="1" applyBorder="1" applyAlignment="1">
      <alignment/>
    </xf>
    <xf numFmtId="165" fontId="8" fillId="0" borderId="0" xfId="15" applyNumberFormat="1" applyFont="1" applyBorder="1" applyAlignment="1">
      <alignment vertical="center"/>
    </xf>
    <xf numFmtId="167" fontId="9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0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" fontId="8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65" fontId="12" fillId="0" borderId="1" xfId="15" applyNumberFormat="1" applyFont="1" applyBorder="1" applyAlignment="1">
      <alignment horizontal="right" vertical="center"/>
    </xf>
    <xf numFmtId="165" fontId="12" fillId="0" borderId="9" xfId="15" applyNumberFormat="1" applyFont="1" applyBorder="1" applyAlignment="1">
      <alignment vertical="center" wrapText="1"/>
    </xf>
    <xf numFmtId="43" fontId="12" fillId="0" borderId="1" xfId="15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7" fontId="12" fillId="0" borderId="1" xfId="15" applyNumberFormat="1" applyFont="1" applyBorder="1" applyAlignment="1">
      <alignment horizontal="right" vertical="center"/>
    </xf>
    <xf numFmtId="165" fontId="12" fillId="0" borderId="1" xfId="15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165" fontId="12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Border="1" applyAlignment="1">
      <alignment horizontal="center" vertical="center"/>
    </xf>
    <xf numFmtId="43" fontId="12" fillId="0" borderId="1" xfId="15" applyNumberFormat="1" applyFont="1" applyBorder="1" applyAlignment="1">
      <alignment horizontal="right" vertical="center"/>
    </xf>
    <xf numFmtId="165" fontId="14" fillId="0" borderId="2" xfId="15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/>
    </xf>
    <xf numFmtId="165" fontId="12" fillId="0" borderId="1" xfId="15" applyNumberFormat="1" applyFont="1" applyFill="1" applyBorder="1" applyAlignment="1">
      <alignment/>
    </xf>
    <xf numFmtId="43" fontId="12" fillId="0" borderId="11" xfId="15" applyNumberFormat="1" applyFont="1" applyBorder="1" applyAlignment="1">
      <alignment horizontal="right" vertical="center"/>
    </xf>
    <xf numFmtId="43" fontId="12" fillId="0" borderId="1" xfId="15" applyFont="1" applyFill="1" applyBorder="1" applyAlignment="1">
      <alignment/>
    </xf>
    <xf numFmtId="165" fontId="12" fillId="0" borderId="2" xfId="15" applyNumberFormat="1" applyFont="1" applyBorder="1" applyAlignment="1">
      <alignment horizontal="right" vertical="top" wrapText="1"/>
    </xf>
    <xf numFmtId="164" fontId="13" fillId="0" borderId="1" xfId="0" applyNumberFormat="1" applyFont="1" applyBorder="1" applyAlignment="1" quotePrefix="1">
      <alignment horizontal="center" vertical="center"/>
    </xf>
    <xf numFmtId="0" fontId="13" fillId="0" borderId="10" xfId="0" applyFont="1" applyBorder="1" applyAlignment="1">
      <alignment vertical="center" wrapText="1"/>
    </xf>
    <xf numFmtId="165" fontId="13" fillId="0" borderId="1" xfId="15" applyNumberFormat="1" applyFont="1" applyBorder="1" applyAlignment="1">
      <alignment horizontal="right" vertical="center"/>
    </xf>
    <xf numFmtId="165" fontId="13" fillId="0" borderId="1" xfId="15" applyNumberFormat="1" applyFont="1" applyBorder="1" applyAlignment="1">
      <alignment vertical="center"/>
    </xf>
    <xf numFmtId="0" fontId="12" fillId="0" borderId="2" xfId="0" applyFont="1" applyBorder="1" applyAlignment="1" quotePrefix="1">
      <alignment vertical="center"/>
    </xf>
    <xf numFmtId="0" fontId="12" fillId="0" borderId="2" xfId="0" applyFont="1" applyBorder="1" applyAlignment="1" quotePrefix="1">
      <alignment horizontal="center" vertical="center"/>
    </xf>
    <xf numFmtId="165" fontId="12" fillId="0" borderId="1" xfId="15" applyNumberFormat="1" applyFont="1" applyBorder="1" applyAlignment="1">
      <alignment/>
    </xf>
    <xf numFmtId="43" fontId="12" fillId="0" borderId="1" xfId="15" applyFont="1" applyBorder="1" applyAlignment="1">
      <alignment/>
    </xf>
    <xf numFmtId="2" fontId="12" fillId="0" borderId="1" xfId="15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65" fontId="12" fillId="0" borderId="1" xfId="15" applyNumberFormat="1" applyFont="1" applyFill="1" applyBorder="1" applyAlignment="1">
      <alignment vertical="center" wrapText="1"/>
    </xf>
    <xf numFmtId="165" fontId="12" fillId="0" borderId="1" xfId="15" applyNumberFormat="1" applyFont="1" applyFill="1" applyBorder="1" applyAlignment="1">
      <alignment vertical="center"/>
    </xf>
    <xf numFmtId="165" fontId="12" fillId="0" borderId="1" xfId="15" applyNumberFormat="1" applyFont="1" applyFill="1" applyBorder="1" applyAlignment="1">
      <alignment horizontal="right"/>
    </xf>
    <xf numFmtId="164" fontId="13" fillId="0" borderId="11" xfId="0" applyNumberFormat="1" applyFont="1" applyBorder="1" applyAlignment="1" quotePrefix="1">
      <alignment horizontal="center" vertical="center"/>
    </xf>
    <xf numFmtId="0" fontId="1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165" fontId="12" fillId="0" borderId="1" xfId="15" applyNumberFormat="1" applyFont="1" applyFill="1" applyBorder="1" applyAlignment="1">
      <alignment horizontal="right" vertical="center"/>
    </xf>
    <xf numFmtId="167" fontId="12" fillId="0" borderId="1" xfId="15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43" fontId="12" fillId="0" borderId="1" xfId="15" applyNumberFormat="1" applyFont="1" applyBorder="1" applyAlignment="1">
      <alignment vertical="center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3" fontId="15" fillId="0" borderId="2" xfId="15" applyFont="1" applyBorder="1" applyAlignment="1">
      <alignment horizontal="left"/>
    </xf>
    <xf numFmtId="43" fontId="12" fillId="0" borderId="2" xfId="15" applyFont="1" applyBorder="1" applyAlignment="1">
      <alignment horizontal="center"/>
    </xf>
    <xf numFmtId="165" fontId="15" fillId="0" borderId="1" xfId="15" applyNumberFormat="1" applyFont="1" applyBorder="1" applyAlignment="1">
      <alignment horizontal="right" vertical="center"/>
    </xf>
    <xf numFmtId="43" fontId="12" fillId="0" borderId="2" xfId="15" applyFont="1" applyBorder="1" applyAlignment="1">
      <alignment horizontal="left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/>
    </xf>
    <xf numFmtId="164" fontId="13" fillId="0" borderId="1" xfId="0" applyNumberFormat="1" applyFont="1" applyBorder="1" applyAlignment="1" quotePrefix="1">
      <alignment horizontal="center"/>
    </xf>
    <xf numFmtId="0" fontId="16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12" fillId="0" borderId="2" xfId="0" applyFont="1" applyBorder="1" applyAlignment="1" quotePrefix="1">
      <alignment horizontal="center"/>
    </xf>
    <xf numFmtId="165" fontId="13" fillId="0" borderId="1" xfId="0" applyNumberFormat="1" applyFont="1" applyBorder="1" applyAlignment="1">
      <alignment/>
    </xf>
    <xf numFmtId="169" fontId="13" fillId="0" borderId="1" xfId="15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0" fontId="13" fillId="0" borderId="2" xfId="0" applyFont="1" applyFill="1" applyBorder="1" applyAlignment="1">
      <alignment horizontal="left"/>
    </xf>
    <xf numFmtId="164" fontId="13" fillId="0" borderId="11" xfId="0" applyNumberFormat="1" applyFont="1" applyBorder="1" applyAlignment="1">
      <alignment horizontal="center"/>
    </xf>
    <xf numFmtId="43" fontId="12" fillId="0" borderId="1" xfId="0" applyNumberFormat="1" applyFont="1" applyBorder="1" applyAlignment="1">
      <alignment/>
    </xf>
    <xf numFmtId="0" fontId="12" fillId="0" borderId="11" xfId="0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3" fillId="0" borderId="1" xfId="15" applyNumberFormat="1" applyFont="1" applyBorder="1" applyAlignment="1">
      <alignment/>
    </xf>
    <xf numFmtId="43" fontId="13" fillId="0" borderId="1" xfId="15" applyNumberFormat="1" applyFont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2" fillId="0" borderId="1" xfId="0" applyFont="1" applyFill="1" applyBorder="1" applyAlignment="1">
      <alignment/>
    </xf>
    <xf numFmtId="165" fontId="12" fillId="0" borderId="2" xfId="0" applyNumberFormat="1" applyFont="1" applyBorder="1" applyAlignment="1">
      <alignment/>
    </xf>
    <xf numFmtId="165" fontId="12" fillId="0" borderId="2" xfId="15" applyNumberFormat="1" applyFont="1" applyBorder="1" applyAlignment="1">
      <alignment vertical="center"/>
    </xf>
    <xf numFmtId="167" fontId="12" fillId="0" borderId="1" xfId="15" applyNumberFormat="1" applyFont="1" applyBorder="1" applyAlignment="1">
      <alignment/>
    </xf>
    <xf numFmtId="0" fontId="12" fillId="0" borderId="2" xfId="0" applyFont="1" applyBorder="1" applyAlignment="1">
      <alignment wrapText="1"/>
    </xf>
    <xf numFmtId="43" fontId="12" fillId="0" borderId="2" xfId="0" applyNumberFormat="1" applyFont="1" applyBorder="1" applyAlignment="1">
      <alignment/>
    </xf>
    <xf numFmtId="0" fontId="12" fillId="0" borderId="2" xfId="0" applyFont="1" applyBorder="1" applyAlignment="1" quotePrefix="1">
      <alignment horizontal="left"/>
    </xf>
    <xf numFmtId="167" fontId="16" fillId="0" borderId="2" xfId="0" applyNumberFormat="1" applyFont="1" applyBorder="1" applyAlignment="1">
      <alignment/>
    </xf>
    <xf numFmtId="43" fontId="13" fillId="0" borderId="2" xfId="0" applyNumberFormat="1" applyFont="1" applyBorder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 quotePrefix="1">
      <alignment/>
    </xf>
    <xf numFmtId="165" fontId="16" fillId="0" borderId="2" xfId="0" applyNumberFormat="1" applyFont="1" applyBorder="1" applyAlignment="1">
      <alignment/>
    </xf>
    <xf numFmtId="10" fontId="12" fillId="0" borderId="1" xfId="19" applyNumberFormat="1" applyFont="1" applyBorder="1" applyAlignment="1">
      <alignment/>
    </xf>
    <xf numFmtId="0" fontId="13" fillId="0" borderId="13" xfId="0" applyFont="1" applyBorder="1" applyAlignment="1">
      <alignment/>
    </xf>
    <xf numFmtId="164" fontId="13" fillId="0" borderId="14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Fill="1" applyBorder="1" applyAlignment="1">
      <alignment/>
    </xf>
    <xf numFmtId="10" fontId="12" fillId="0" borderId="2" xfId="19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Fill="1" applyBorder="1" applyAlignment="1">
      <alignment wrapText="1"/>
    </xf>
    <xf numFmtId="1" fontId="12" fillId="0" borderId="1" xfId="15" applyNumberFormat="1" applyFont="1" applyBorder="1" applyAlignment="1">
      <alignment vertical="center"/>
    </xf>
    <xf numFmtId="164" fontId="12" fillId="0" borderId="1" xfId="15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7" fontId="12" fillId="0" borderId="1" xfId="0" applyNumberFormat="1" applyFont="1" applyBorder="1" applyAlignment="1">
      <alignment/>
    </xf>
    <xf numFmtId="164" fontId="13" fillId="0" borderId="11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3" fillId="0" borderId="15" xfId="0" applyNumberFormat="1" applyFont="1" applyBorder="1" applyAlignment="1" quotePrefix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165" fontId="12" fillId="0" borderId="15" xfId="0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43" fontId="12" fillId="0" borderId="15" xfId="0" applyNumberFormat="1" applyFont="1" applyBorder="1" applyAlignment="1">
      <alignment/>
    </xf>
    <xf numFmtId="10" fontId="12" fillId="0" borderId="15" xfId="19" applyNumberFormat="1" applyFont="1" applyBorder="1" applyAlignment="1">
      <alignment vertical="center"/>
    </xf>
    <xf numFmtId="10" fontId="12" fillId="0" borderId="16" xfId="19" applyNumberFormat="1" applyFont="1" applyBorder="1" applyAlignment="1">
      <alignment vertical="center"/>
    </xf>
    <xf numFmtId="43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4" fillId="0" borderId="5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E151" sqref="E151"/>
    </sheetView>
  </sheetViews>
  <sheetFormatPr defaultColWidth="9.140625" defaultRowHeight="12.75"/>
  <cols>
    <col min="1" max="1" width="5.00390625" style="6" customWidth="1"/>
    <col min="2" max="2" width="24.7109375" style="6" customWidth="1"/>
    <col min="3" max="3" width="8.7109375" style="6" customWidth="1"/>
    <col min="4" max="4" width="10.57421875" style="6" customWidth="1"/>
    <col min="5" max="5" width="10.140625" style="6" customWidth="1"/>
    <col min="6" max="6" width="11.140625" style="6" customWidth="1"/>
    <col min="7" max="7" width="11.00390625" style="6" customWidth="1"/>
    <col min="8" max="8" width="9.8515625" style="6" customWidth="1"/>
    <col min="9" max="9" width="9.28125" style="6" customWidth="1"/>
    <col min="10" max="10" width="9.140625" style="6" customWidth="1"/>
    <col min="11" max="11" width="11.57421875" style="6" bestFit="1" customWidth="1"/>
    <col min="12" max="16384" width="9.140625" style="6" customWidth="1"/>
  </cols>
  <sheetData>
    <row r="1" spans="1:9" ht="15.75">
      <c r="A1" s="1" t="s">
        <v>149</v>
      </c>
      <c r="B1" s="2"/>
      <c r="C1" s="3"/>
      <c r="D1" s="4"/>
      <c r="E1" s="5"/>
      <c r="F1" s="5"/>
      <c r="G1" s="5"/>
      <c r="H1" s="5"/>
      <c r="I1" s="5"/>
    </row>
    <row r="2" spans="1:9" ht="15.75">
      <c r="A2" s="3"/>
      <c r="B2" s="7"/>
      <c r="C2" s="3"/>
      <c r="D2" s="8"/>
      <c r="E2" s="9"/>
      <c r="F2" s="5"/>
      <c r="G2" s="5"/>
      <c r="H2" s="5"/>
      <c r="I2" s="5"/>
    </row>
    <row r="3" spans="1:9" ht="16.5">
      <c r="A3" s="175" t="s">
        <v>150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76" t="s">
        <v>154</v>
      </c>
      <c r="B4" s="176"/>
      <c r="C4" s="176"/>
      <c r="D4" s="176"/>
      <c r="E4" s="176"/>
      <c r="F4" s="176"/>
      <c r="G4" s="176"/>
      <c r="H4" s="176"/>
      <c r="I4" s="176"/>
    </row>
    <row r="5" spans="1:9" ht="15.75">
      <c r="A5" s="7"/>
      <c r="B5" s="10"/>
      <c r="C5" s="8"/>
      <c r="D5" s="11"/>
      <c r="E5" s="5"/>
      <c r="F5" s="11"/>
      <c r="G5" s="12"/>
      <c r="H5" s="5"/>
      <c r="I5" s="5"/>
    </row>
    <row r="6" spans="1:9" ht="25.5" customHeight="1">
      <c r="A6" s="177" t="s">
        <v>146</v>
      </c>
      <c r="B6" s="177" t="s">
        <v>0</v>
      </c>
      <c r="C6" s="173" t="s">
        <v>1</v>
      </c>
      <c r="D6" s="173" t="s">
        <v>157</v>
      </c>
      <c r="E6" s="173" t="s">
        <v>151</v>
      </c>
      <c r="F6" s="173" t="s">
        <v>155</v>
      </c>
      <c r="G6" s="173" t="s">
        <v>156</v>
      </c>
      <c r="H6" s="178" t="s">
        <v>2</v>
      </c>
      <c r="I6" s="179"/>
    </row>
    <row r="7" spans="1:9" ht="25.5" customHeight="1">
      <c r="A7" s="177"/>
      <c r="B7" s="177"/>
      <c r="C7" s="174"/>
      <c r="D7" s="174"/>
      <c r="E7" s="174"/>
      <c r="F7" s="174"/>
      <c r="G7" s="174"/>
      <c r="H7" s="56" t="s">
        <v>3</v>
      </c>
      <c r="I7" s="55" t="s">
        <v>4</v>
      </c>
    </row>
    <row r="8" spans="1:9" ht="15.75">
      <c r="A8" s="57" t="s">
        <v>5</v>
      </c>
      <c r="B8" s="58" t="s">
        <v>6</v>
      </c>
      <c r="C8" s="55" t="s">
        <v>7</v>
      </c>
      <c r="D8" s="59">
        <v>1</v>
      </c>
      <c r="E8" s="56">
        <v>2</v>
      </c>
      <c r="F8" s="56"/>
      <c r="G8" s="56">
        <v>3</v>
      </c>
      <c r="H8" s="56" t="s">
        <v>8</v>
      </c>
      <c r="I8" s="55" t="s">
        <v>9</v>
      </c>
    </row>
    <row r="9" spans="1:9" ht="15.75">
      <c r="A9" s="27" t="s">
        <v>5</v>
      </c>
      <c r="B9" s="28" t="s">
        <v>145</v>
      </c>
      <c r="C9" s="29"/>
      <c r="D9" s="60"/>
      <c r="E9" s="30"/>
      <c r="F9" s="30"/>
      <c r="G9" s="31"/>
      <c r="H9" s="26"/>
      <c r="I9" s="32"/>
    </row>
    <row r="10" spans="1:9" ht="15.75">
      <c r="A10" s="27" t="s">
        <v>10</v>
      </c>
      <c r="B10" s="28" t="s">
        <v>11</v>
      </c>
      <c r="C10" s="29"/>
      <c r="D10" s="60"/>
      <c r="E10" s="30"/>
      <c r="F10" s="33"/>
      <c r="G10" s="33"/>
      <c r="H10" s="26"/>
      <c r="I10" s="32"/>
    </row>
    <row r="11" spans="1:9" ht="15.75">
      <c r="A11" s="27"/>
      <c r="B11" s="34" t="s">
        <v>12</v>
      </c>
      <c r="C11" s="29" t="s">
        <v>13</v>
      </c>
      <c r="D11" s="23">
        <f>+D13+D23</f>
        <v>106487.25</v>
      </c>
      <c r="E11" s="23">
        <f>+E13+E23</f>
        <v>193630</v>
      </c>
      <c r="F11" s="23">
        <f>+F13+F23</f>
        <v>22818.28</v>
      </c>
      <c r="G11" s="23">
        <f>+G13+G23</f>
        <v>111224.64</v>
      </c>
      <c r="H11" s="26">
        <f>G11/D11</f>
        <v>1.0444878612228226</v>
      </c>
      <c r="I11" s="32">
        <f>G11/E11</f>
        <v>0.5744184268966586</v>
      </c>
    </row>
    <row r="12" spans="1:9" ht="15.75">
      <c r="A12" s="35" t="s">
        <v>14</v>
      </c>
      <c r="B12" s="34" t="s">
        <v>15</v>
      </c>
      <c r="C12" s="29" t="s">
        <v>13</v>
      </c>
      <c r="D12" s="24">
        <f>+D13+D25</f>
        <v>80589.55</v>
      </c>
      <c r="E12" s="24">
        <f>+E13+E25</f>
        <v>143200</v>
      </c>
      <c r="F12" s="36">
        <f>+F13+F25</f>
        <v>18843.98</v>
      </c>
      <c r="G12" s="24">
        <f>+G13+G25</f>
        <v>84999.34</v>
      </c>
      <c r="H12" s="26">
        <f>G12/D12</f>
        <v>1.0547191292171254</v>
      </c>
      <c r="I12" s="32">
        <f>G12/E12</f>
        <v>0.5935708100558659</v>
      </c>
    </row>
    <row r="13" spans="1:9" ht="15.75">
      <c r="A13" s="37"/>
      <c r="B13" s="34" t="s">
        <v>16</v>
      </c>
      <c r="C13" s="29" t="s">
        <v>13</v>
      </c>
      <c r="D13" s="25">
        <f>+D15+D20</f>
        <v>77722</v>
      </c>
      <c r="E13" s="25">
        <f>E15+E20</f>
        <v>138000</v>
      </c>
      <c r="F13" s="25">
        <f>F20+F23</f>
        <v>18396.64</v>
      </c>
      <c r="G13" s="25">
        <f>G15+G20</f>
        <v>82058</v>
      </c>
      <c r="H13" s="26">
        <f>G13/D13</f>
        <v>1.0557885798100923</v>
      </c>
      <c r="I13" s="32">
        <f>G13/E13</f>
        <v>0.5946231884057971</v>
      </c>
    </row>
    <row r="14" spans="1:9" ht="15.75">
      <c r="A14" s="37"/>
      <c r="B14" s="61" t="s">
        <v>22</v>
      </c>
      <c r="C14" s="62"/>
      <c r="D14" s="63"/>
      <c r="E14" s="25"/>
      <c r="F14" s="64"/>
      <c r="G14" s="65"/>
      <c r="H14" s="26"/>
      <c r="I14" s="32"/>
    </row>
    <row r="15" spans="1:9" ht="15.75">
      <c r="A15" s="37"/>
      <c r="B15" s="66" t="s">
        <v>23</v>
      </c>
      <c r="C15" s="67" t="s">
        <v>24</v>
      </c>
      <c r="D15" s="68">
        <v>64458</v>
      </c>
      <c r="E15" s="69">
        <f>+E16</f>
        <v>58000</v>
      </c>
      <c r="F15" s="68"/>
      <c r="G15" s="68">
        <v>66448</v>
      </c>
      <c r="H15" s="26">
        <f>G15/D15</f>
        <v>1.0308728164075833</v>
      </c>
      <c r="I15" s="32">
        <f>G15/E15</f>
        <v>1.145655172413793</v>
      </c>
    </row>
    <row r="16" spans="1:9" ht="15.75">
      <c r="A16" s="37"/>
      <c r="B16" s="66" t="s">
        <v>17</v>
      </c>
      <c r="C16" s="70" t="s">
        <v>13</v>
      </c>
      <c r="D16" s="68">
        <v>61917</v>
      </c>
      <c r="E16" s="71">
        <v>58000</v>
      </c>
      <c r="F16" s="63">
        <f>G16-26922</f>
        <v>36191</v>
      </c>
      <c r="G16" s="68">
        <v>63113</v>
      </c>
      <c r="H16" s="26">
        <f>G16/D16</f>
        <v>1.0193161813395353</v>
      </c>
      <c r="I16" s="32">
        <f>G16/E16</f>
        <v>1.088155172413793</v>
      </c>
    </row>
    <row r="17" spans="1:9" ht="15.75">
      <c r="A17" s="37"/>
      <c r="B17" s="66" t="s">
        <v>18</v>
      </c>
      <c r="C17" s="72" t="s">
        <v>19</v>
      </c>
      <c r="D17" s="73">
        <f>+D18/D16*10</f>
        <v>60.42007849217501</v>
      </c>
      <c r="E17" s="73">
        <v>6.25</v>
      </c>
      <c r="F17" s="73">
        <f>+F18/F16*10</f>
        <v>61.071540714542294</v>
      </c>
      <c r="G17" s="73">
        <f>+G18/G16*10</f>
        <v>63.010000000000005</v>
      </c>
      <c r="H17" s="26">
        <f>G17/D17</f>
        <v>1.042865245667637</v>
      </c>
      <c r="I17" s="32">
        <f>G17/E17</f>
        <v>10.081600000000002</v>
      </c>
    </row>
    <row r="18" spans="1:9" ht="15.75">
      <c r="A18" s="37"/>
      <c r="B18" s="66" t="s">
        <v>20</v>
      </c>
      <c r="C18" s="67" t="s">
        <v>21</v>
      </c>
      <c r="D18" s="63">
        <v>374103</v>
      </c>
      <c r="E18" s="74">
        <f>+E17*E16</f>
        <v>362500</v>
      </c>
      <c r="F18" s="68">
        <f>+G18-176651</f>
        <v>221024.01300000004</v>
      </c>
      <c r="G18" s="63">
        <f>+G16*6.301</f>
        <v>397675.01300000004</v>
      </c>
      <c r="H18" s="26">
        <f>G18/D18</f>
        <v>1.0630094198656521</v>
      </c>
      <c r="I18" s="32">
        <f>G18/E18</f>
        <v>1.0970345186206898</v>
      </c>
    </row>
    <row r="19" spans="1:9" ht="15.75">
      <c r="A19" s="37"/>
      <c r="B19" s="75" t="s">
        <v>147</v>
      </c>
      <c r="C19" s="70"/>
      <c r="D19" s="24"/>
      <c r="E19" s="63"/>
      <c r="F19" s="68"/>
      <c r="G19" s="63"/>
      <c r="H19" s="26"/>
      <c r="I19" s="32"/>
    </row>
    <row r="20" spans="1:9" ht="15.75">
      <c r="A20" s="37"/>
      <c r="B20" s="66" t="s">
        <v>148</v>
      </c>
      <c r="C20" s="70" t="s">
        <v>13</v>
      </c>
      <c r="D20" s="63">
        <v>13264</v>
      </c>
      <c r="E20" s="71">
        <v>80000</v>
      </c>
      <c r="F20" s="63">
        <f>G20-1635</f>
        <v>13975</v>
      </c>
      <c r="G20" s="63">
        <v>15610</v>
      </c>
      <c r="H20" s="26">
        <f>G20/D20</f>
        <v>1.176869722557298</v>
      </c>
      <c r="I20" s="32">
        <f>G20/E20</f>
        <v>0.195125</v>
      </c>
    </row>
    <row r="21" spans="1:9" ht="15.75">
      <c r="A21" s="37"/>
      <c r="B21" s="66" t="s">
        <v>30</v>
      </c>
      <c r="C21" s="72" t="s">
        <v>19</v>
      </c>
      <c r="D21" s="76"/>
      <c r="E21" s="77">
        <f>+E22/E20</f>
        <v>5.3</v>
      </c>
      <c r="F21" s="68"/>
      <c r="G21" s="63"/>
      <c r="H21" s="26"/>
      <c r="I21" s="32"/>
    </row>
    <row r="22" spans="1:9" ht="15.75">
      <c r="A22" s="37"/>
      <c r="B22" s="66" t="s">
        <v>20</v>
      </c>
      <c r="C22" s="67" t="s">
        <v>21</v>
      </c>
      <c r="D22" s="78"/>
      <c r="E22" s="79">
        <f>+E20*5.3</f>
        <v>424000</v>
      </c>
      <c r="F22" s="68"/>
      <c r="G22" s="63"/>
      <c r="H22" s="26"/>
      <c r="I22" s="32"/>
    </row>
    <row r="23" spans="1:9" ht="15.75">
      <c r="A23" s="80"/>
      <c r="B23" s="81" t="s">
        <v>25</v>
      </c>
      <c r="C23" s="72" t="s">
        <v>13</v>
      </c>
      <c r="D23" s="82">
        <f>+D25+D29+D43+D54</f>
        <v>28765.25</v>
      </c>
      <c r="E23" s="82">
        <f>+E25+E29+E43+E54</f>
        <v>55630</v>
      </c>
      <c r="F23" s="82">
        <f>+F25+F29+F43+F54</f>
        <v>4421.639999999999</v>
      </c>
      <c r="G23" s="82">
        <f>+G25+G29+G43+G54</f>
        <v>29166.64</v>
      </c>
      <c r="H23" s="26">
        <f>G23/D23</f>
        <v>1.0139539896228957</v>
      </c>
      <c r="I23" s="32">
        <f>G23/E23</f>
        <v>0.5242969620708251</v>
      </c>
    </row>
    <row r="24" spans="1:9" ht="15.75">
      <c r="A24" s="80"/>
      <c r="B24" s="34" t="s">
        <v>26</v>
      </c>
      <c r="C24" s="72"/>
      <c r="D24" s="83"/>
      <c r="E24" s="24"/>
      <c r="F24" s="24"/>
      <c r="G24" s="24"/>
      <c r="H24" s="26"/>
      <c r="I24" s="32"/>
    </row>
    <row r="25" spans="1:9" ht="15.75">
      <c r="A25" s="80"/>
      <c r="B25" s="84" t="s">
        <v>27</v>
      </c>
      <c r="C25" s="72" t="s">
        <v>13</v>
      </c>
      <c r="D25" s="69">
        <v>2867.55</v>
      </c>
      <c r="E25" s="69">
        <v>5200</v>
      </c>
      <c r="F25" s="24">
        <f>G25-2494</f>
        <v>447.34000000000015</v>
      </c>
      <c r="G25" s="69">
        <v>2941.34</v>
      </c>
      <c r="H25" s="26">
        <f>G25/D25</f>
        <v>1.0257327683911353</v>
      </c>
      <c r="I25" s="32">
        <f>G25/E25</f>
        <v>0.5656423076923077</v>
      </c>
    </row>
    <row r="26" spans="1:9" ht="15.75">
      <c r="A26" s="80"/>
      <c r="B26" s="84" t="s">
        <v>28</v>
      </c>
      <c r="C26" s="85" t="s">
        <v>29</v>
      </c>
      <c r="D26" s="76">
        <v>495</v>
      </c>
      <c r="E26" s="86">
        <f>+E25</f>
        <v>5200</v>
      </c>
      <c r="F26" s="24">
        <f>+G26-97</f>
        <v>1078</v>
      </c>
      <c r="G26" s="86">
        <v>1175</v>
      </c>
      <c r="H26" s="26">
        <f>G26/D26</f>
        <v>2.3737373737373737</v>
      </c>
      <c r="I26" s="32">
        <f>G26/E26</f>
        <v>0.22596153846153846</v>
      </c>
    </row>
    <row r="27" spans="1:9" ht="15.75">
      <c r="A27" s="80"/>
      <c r="B27" s="84" t="s">
        <v>30</v>
      </c>
      <c r="C27" s="72" t="s">
        <v>19</v>
      </c>
      <c r="D27" s="78">
        <f>+D28/D26*10</f>
        <v>52.2020202020202</v>
      </c>
      <c r="E27" s="87">
        <f>+E28/E26*10</f>
        <v>57.5</v>
      </c>
      <c r="F27" s="88">
        <f>+F28/F26*10</f>
        <v>48.680426716141</v>
      </c>
      <c r="G27" s="87">
        <f>+G28/G26*10</f>
        <v>48.9</v>
      </c>
      <c r="H27" s="26">
        <f>G27/D27</f>
        <v>0.9367453560371517</v>
      </c>
      <c r="I27" s="32">
        <f>G27/E27</f>
        <v>0.8504347826086956</v>
      </c>
    </row>
    <row r="28" spans="1:9" ht="15.75">
      <c r="A28" s="80"/>
      <c r="B28" s="89" t="s">
        <v>31</v>
      </c>
      <c r="C28" s="72" t="s">
        <v>32</v>
      </c>
      <c r="D28" s="76">
        <v>2584</v>
      </c>
      <c r="E28" s="86">
        <v>29900</v>
      </c>
      <c r="F28" s="24">
        <f>+G28-498</f>
        <v>5247.75</v>
      </c>
      <c r="G28" s="86">
        <f>+G26*4.89</f>
        <v>5745.75</v>
      </c>
      <c r="H28" s="26">
        <f>G28/D28</f>
        <v>2.2235874613003097</v>
      </c>
      <c r="I28" s="32">
        <f>G28/E28</f>
        <v>0.19216555183946488</v>
      </c>
    </row>
    <row r="29" spans="1:9" ht="15.75">
      <c r="A29" s="80" t="s">
        <v>33</v>
      </c>
      <c r="B29" s="34" t="s">
        <v>34</v>
      </c>
      <c r="C29" s="90" t="s">
        <v>13</v>
      </c>
      <c r="D29" s="83">
        <f>+D31+D36+D41</f>
        <v>1309.1100000000001</v>
      </c>
      <c r="E29" s="83">
        <f>+E31+E36+E41</f>
        <v>3650</v>
      </c>
      <c r="F29" s="83">
        <f>+F31+F36+F41</f>
        <v>194.86999999999992</v>
      </c>
      <c r="G29" s="83">
        <f>+G31+G36+G41</f>
        <v>1208.87</v>
      </c>
      <c r="H29" s="26">
        <f>G29/D29</f>
        <v>0.9234288944397336</v>
      </c>
      <c r="I29" s="32">
        <f>G29/E29</f>
        <v>0.33119726027397256</v>
      </c>
    </row>
    <row r="30" spans="1:9" ht="15.75">
      <c r="A30" s="80"/>
      <c r="B30" s="34" t="s">
        <v>35</v>
      </c>
      <c r="C30" s="72"/>
      <c r="D30" s="24"/>
      <c r="E30" s="24"/>
      <c r="F30" s="24"/>
      <c r="G30" s="24"/>
      <c r="H30" s="26"/>
      <c r="I30" s="32"/>
    </row>
    <row r="31" spans="1:9" ht="15.75">
      <c r="A31" s="80"/>
      <c r="B31" s="84" t="s">
        <v>36</v>
      </c>
      <c r="C31" s="72" t="s">
        <v>13</v>
      </c>
      <c r="D31" s="69">
        <v>698.7</v>
      </c>
      <c r="E31" s="69">
        <v>1750</v>
      </c>
      <c r="F31" s="24">
        <f>G31-546</f>
        <v>102.05999999999995</v>
      </c>
      <c r="G31" s="69">
        <v>648.06</v>
      </c>
      <c r="H31" s="26">
        <f>G31/D31</f>
        <v>0.9275225418634606</v>
      </c>
      <c r="I31" s="32">
        <f>G31/E31</f>
        <v>0.37032</v>
      </c>
    </row>
    <row r="32" spans="1:9" ht="15.75">
      <c r="A32" s="80"/>
      <c r="B32" s="84" t="s">
        <v>37</v>
      </c>
      <c r="C32" s="85" t="s">
        <v>29</v>
      </c>
      <c r="D32" s="76">
        <v>93</v>
      </c>
      <c r="E32" s="86">
        <f>+E31</f>
        <v>1750</v>
      </c>
      <c r="F32" s="24">
        <f>+G32-37</f>
        <v>90.9</v>
      </c>
      <c r="G32" s="86">
        <v>127.9</v>
      </c>
      <c r="H32" s="26">
        <f>G32/D32</f>
        <v>1.375268817204301</v>
      </c>
      <c r="I32" s="32">
        <f>G32/E32</f>
        <v>0.0730857142857143</v>
      </c>
    </row>
    <row r="33" spans="1:9" ht="15.75">
      <c r="A33" s="80"/>
      <c r="B33" s="84" t="s">
        <v>38</v>
      </c>
      <c r="C33" s="72" t="s">
        <v>19</v>
      </c>
      <c r="D33" s="78">
        <f>+D34/D32*10</f>
        <v>134.40860215053763</v>
      </c>
      <c r="E33" s="87">
        <f>+E34/E32*10</f>
        <v>143</v>
      </c>
      <c r="F33" s="88">
        <f>+F34/F32*10</f>
        <v>115.73157315731572</v>
      </c>
      <c r="G33" s="87">
        <f>+G34/G32*10</f>
        <v>121.18842845973417</v>
      </c>
      <c r="H33" s="26">
        <f>G33/D33</f>
        <v>0.9016419077404222</v>
      </c>
      <c r="I33" s="32">
        <f>G33/E33</f>
        <v>0.8474715276904488</v>
      </c>
    </row>
    <row r="34" spans="1:9" ht="15.75">
      <c r="A34" s="80"/>
      <c r="B34" s="91" t="s">
        <v>39</v>
      </c>
      <c r="C34" s="72" t="s">
        <v>32</v>
      </c>
      <c r="D34" s="92">
        <v>1250</v>
      </c>
      <c r="E34" s="25">
        <v>25025</v>
      </c>
      <c r="F34" s="24">
        <f>+G34-498</f>
        <v>1052</v>
      </c>
      <c r="G34" s="25">
        <v>1550</v>
      </c>
      <c r="H34" s="26">
        <f>G34/D34</f>
        <v>1.24</v>
      </c>
      <c r="I34" s="32">
        <f>G34/E34</f>
        <v>0.061938061938061936</v>
      </c>
    </row>
    <row r="35" spans="1:9" ht="15.75">
      <c r="A35" s="80"/>
      <c r="B35" s="34" t="s">
        <v>40</v>
      </c>
      <c r="C35" s="72"/>
      <c r="D35" s="24"/>
      <c r="E35" s="24"/>
      <c r="F35" s="24"/>
      <c r="G35" s="24"/>
      <c r="H35" s="26"/>
      <c r="I35" s="32"/>
    </row>
    <row r="36" spans="1:9" ht="15.75">
      <c r="A36" s="80"/>
      <c r="B36" s="84" t="s">
        <v>36</v>
      </c>
      <c r="C36" s="72" t="s">
        <v>13</v>
      </c>
      <c r="D36" s="69">
        <v>375.41</v>
      </c>
      <c r="E36" s="69">
        <v>1100</v>
      </c>
      <c r="F36" s="24">
        <f>G36-289</f>
        <v>71.45999999999998</v>
      </c>
      <c r="G36" s="69">
        <v>360.46</v>
      </c>
      <c r="H36" s="26">
        <f>G36/D36</f>
        <v>0.9601768732852081</v>
      </c>
      <c r="I36" s="32">
        <f>G36/E36</f>
        <v>0.3276909090909091</v>
      </c>
    </row>
    <row r="37" spans="1:9" ht="15.75">
      <c r="A37" s="80"/>
      <c r="B37" s="84" t="s">
        <v>37</v>
      </c>
      <c r="C37" s="85" t="s">
        <v>29</v>
      </c>
      <c r="D37" s="76">
        <v>33</v>
      </c>
      <c r="E37" s="86">
        <f>+E36</f>
        <v>1100</v>
      </c>
      <c r="F37" s="24">
        <f>+G37-7</f>
        <v>70.95</v>
      </c>
      <c r="G37" s="86">
        <v>77.95</v>
      </c>
      <c r="H37" s="26">
        <f aca="true" t="shared" si="0" ref="H37:H42">G37/D37</f>
        <v>2.3621212121212123</v>
      </c>
      <c r="I37" s="32">
        <f>G37/E37</f>
        <v>0.07086363636363636</v>
      </c>
    </row>
    <row r="38" spans="1:9" ht="15.75">
      <c r="A38" s="80"/>
      <c r="B38" s="84" t="s">
        <v>38</v>
      </c>
      <c r="C38" s="72" t="s">
        <v>19</v>
      </c>
      <c r="D38" s="78">
        <f>+D39/D37*10</f>
        <v>136.06060606060606</v>
      </c>
      <c r="E38" s="87">
        <f>+E39/E37*10</f>
        <v>130.5</v>
      </c>
      <c r="F38" s="24">
        <f>+F39/F37*10</f>
        <v>115.16370683579987</v>
      </c>
      <c r="G38" s="87">
        <f>+G39/G37*10</f>
        <v>114.7</v>
      </c>
      <c r="H38" s="26">
        <f t="shared" si="0"/>
        <v>0.8430066815144767</v>
      </c>
      <c r="I38" s="32">
        <f>G38/E38</f>
        <v>0.8789272030651342</v>
      </c>
    </row>
    <row r="39" spans="1:9" ht="15.75">
      <c r="A39" s="80"/>
      <c r="B39" s="91" t="s">
        <v>39</v>
      </c>
      <c r="C39" s="72" t="s">
        <v>32</v>
      </c>
      <c r="D39" s="93">
        <v>449</v>
      </c>
      <c r="E39" s="24">
        <v>14355</v>
      </c>
      <c r="F39" s="24">
        <f>+G39-77</f>
        <v>817.0865000000001</v>
      </c>
      <c r="G39" s="24">
        <f>+G37*11.47</f>
        <v>894.0865000000001</v>
      </c>
      <c r="H39" s="26">
        <f t="shared" si="0"/>
        <v>1.9912839643652565</v>
      </c>
      <c r="I39" s="32">
        <f>G39/E39</f>
        <v>0.06228397770811565</v>
      </c>
    </row>
    <row r="40" spans="1:9" ht="15.75">
      <c r="A40" s="80"/>
      <c r="B40" s="34" t="s">
        <v>41</v>
      </c>
      <c r="C40" s="72"/>
      <c r="D40" s="24"/>
      <c r="E40" s="24"/>
      <c r="F40" s="24"/>
      <c r="G40" s="24"/>
      <c r="H40" s="26"/>
      <c r="I40" s="32"/>
    </row>
    <row r="41" spans="1:9" ht="15.75">
      <c r="A41" s="80"/>
      <c r="B41" s="84" t="s">
        <v>36</v>
      </c>
      <c r="C41" s="72" t="s">
        <v>13</v>
      </c>
      <c r="D41" s="94">
        <v>235</v>
      </c>
      <c r="E41" s="69">
        <v>800</v>
      </c>
      <c r="F41" s="24">
        <f>G41-179</f>
        <v>21.349999999999994</v>
      </c>
      <c r="G41" s="69">
        <v>200.35</v>
      </c>
      <c r="H41" s="26">
        <f t="shared" si="0"/>
        <v>0.8525531914893617</v>
      </c>
      <c r="I41" s="32">
        <f aca="true" t="shared" si="1" ref="I41:I54">G41/E41</f>
        <v>0.2504375</v>
      </c>
    </row>
    <row r="42" spans="1:9" ht="15.75">
      <c r="A42" s="80"/>
      <c r="B42" s="84" t="s">
        <v>37</v>
      </c>
      <c r="C42" s="85" t="s">
        <v>29</v>
      </c>
      <c r="D42" s="92">
        <v>35</v>
      </c>
      <c r="E42" s="25">
        <f>+E41</f>
        <v>800</v>
      </c>
      <c r="F42" s="24">
        <f>+G42-8</f>
        <v>12.43</v>
      </c>
      <c r="G42" s="25">
        <v>20.43</v>
      </c>
      <c r="H42" s="26">
        <f t="shared" si="0"/>
        <v>0.5837142857142857</v>
      </c>
      <c r="I42" s="32">
        <f t="shared" si="1"/>
        <v>0.0255375</v>
      </c>
    </row>
    <row r="43" spans="1:9" ht="15.75">
      <c r="A43" s="80" t="s">
        <v>42</v>
      </c>
      <c r="B43" s="34" t="s">
        <v>43</v>
      </c>
      <c r="C43" s="72" t="s">
        <v>13</v>
      </c>
      <c r="D43" s="83">
        <f>+D45+D50</f>
        <v>12936.48</v>
      </c>
      <c r="E43" s="83">
        <f>+E45+E50</f>
        <v>30900</v>
      </c>
      <c r="F43" s="83">
        <f>+F45+F50</f>
        <v>1674.6999999999998</v>
      </c>
      <c r="G43" s="83">
        <f>+G45+G50</f>
        <v>13700.7</v>
      </c>
      <c r="H43" s="26">
        <f>G43/D43</f>
        <v>1.0590748024192054</v>
      </c>
      <c r="I43" s="32">
        <f t="shared" si="1"/>
        <v>0.44338834951456313</v>
      </c>
    </row>
    <row r="44" spans="1:9" ht="15.75">
      <c r="A44" s="80"/>
      <c r="B44" s="34" t="s">
        <v>44</v>
      </c>
      <c r="C44" s="29"/>
      <c r="D44" s="63"/>
      <c r="E44" s="63"/>
      <c r="F44" s="24"/>
      <c r="G44" s="63"/>
      <c r="H44" s="26"/>
      <c r="I44" s="32"/>
    </row>
    <row r="45" spans="1:9" ht="15.75">
      <c r="A45" s="95"/>
      <c r="B45" s="96" t="s">
        <v>45</v>
      </c>
      <c r="C45" s="97" t="s">
        <v>13</v>
      </c>
      <c r="D45" s="63">
        <v>12487.48</v>
      </c>
      <c r="E45" s="63">
        <v>30000</v>
      </c>
      <c r="F45" s="24">
        <f>G45-11750</f>
        <v>1490.83</v>
      </c>
      <c r="G45" s="63">
        <v>13240.83</v>
      </c>
      <c r="H45" s="26">
        <f>G45/D45</f>
        <v>1.0603284249504303</v>
      </c>
      <c r="I45" s="32">
        <f t="shared" si="1"/>
        <v>0.441361</v>
      </c>
    </row>
    <row r="46" spans="1:9" ht="15.75">
      <c r="A46" s="95"/>
      <c r="B46" s="84" t="s">
        <v>37</v>
      </c>
      <c r="C46" s="98" t="s">
        <v>29</v>
      </c>
      <c r="D46" s="99">
        <v>6034</v>
      </c>
      <c r="E46" s="63">
        <f>+E45</f>
        <v>30000</v>
      </c>
      <c r="F46" s="24">
        <f>+G46-8975</f>
        <v>1106</v>
      </c>
      <c r="G46" s="63">
        <v>10081</v>
      </c>
      <c r="H46" s="26">
        <f>G46/D46</f>
        <v>1.6706993702353332</v>
      </c>
      <c r="I46" s="32">
        <f t="shared" si="1"/>
        <v>0.33603333333333335</v>
      </c>
    </row>
    <row r="47" spans="1:9" ht="15.75">
      <c r="A47" s="95"/>
      <c r="B47" s="84" t="s">
        <v>38</v>
      </c>
      <c r="C47" s="97" t="s">
        <v>19</v>
      </c>
      <c r="D47" s="100">
        <f>+D48/D46*10</f>
        <v>217.50082863771956</v>
      </c>
      <c r="E47" s="63">
        <f>+E48/E46*10</f>
        <v>223</v>
      </c>
      <c r="F47" s="88">
        <f>+F48/F46*10</f>
        <v>214.70226039782983</v>
      </c>
      <c r="G47" s="68">
        <f>+G48/G46*10</f>
        <v>214.7</v>
      </c>
      <c r="H47" s="26">
        <f>G47/D47</f>
        <v>0.9871226760134106</v>
      </c>
      <c r="I47" s="32">
        <f t="shared" si="1"/>
        <v>0.962780269058296</v>
      </c>
    </row>
    <row r="48" spans="1:9" ht="15.75">
      <c r="A48" s="95"/>
      <c r="B48" s="91" t="s">
        <v>39</v>
      </c>
      <c r="C48" s="97" t="s">
        <v>32</v>
      </c>
      <c r="D48" s="99">
        <v>131240</v>
      </c>
      <c r="E48" s="63">
        <v>669000</v>
      </c>
      <c r="F48" s="24">
        <f>+G48-192693</f>
        <v>23746.069999999978</v>
      </c>
      <c r="G48" s="63">
        <f>+G46*21.47</f>
        <v>216439.06999999998</v>
      </c>
      <c r="H48" s="26">
        <f>G48/D48</f>
        <v>1.6491852331606216</v>
      </c>
      <c r="I48" s="32">
        <f t="shared" si="1"/>
        <v>0.32352626307922266</v>
      </c>
    </row>
    <row r="49" spans="1:9" ht="15.75">
      <c r="A49" s="95"/>
      <c r="B49" s="101" t="s">
        <v>46</v>
      </c>
      <c r="C49" s="29"/>
      <c r="D49" s="83"/>
      <c r="E49" s="63"/>
      <c r="F49" s="24"/>
      <c r="G49" s="63"/>
      <c r="H49" s="26"/>
      <c r="I49" s="32"/>
    </row>
    <row r="50" spans="1:9" ht="15.75">
      <c r="A50" s="95"/>
      <c r="B50" s="96" t="s">
        <v>45</v>
      </c>
      <c r="C50" s="97" t="s">
        <v>13</v>
      </c>
      <c r="D50" s="63">
        <v>449</v>
      </c>
      <c r="E50" s="63">
        <v>900</v>
      </c>
      <c r="F50" s="24">
        <f>G50-276</f>
        <v>183.87</v>
      </c>
      <c r="G50" s="63">
        <v>459.87</v>
      </c>
      <c r="H50" s="26">
        <f>G50/D50</f>
        <v>1.0242093541202673</v>
      </c>
      <c r="I50" s="32">
        <f t="shared" si="1"/>
        <v>0.5109666666666667</v>
      </c>
    </row>
    <row r="51" spans="1:9" ht="15.75">
      <c r="A51" s="95"/>
      <c r="B51" s="84" t="s">
        <v>37</v>
      </c>
      <c r="C51" s="98" t="s">
        <v>29</v>
      </c>
      <c r="D51" s="99">
        <v>139</v>
      </c>
      <c r="E51" s="63">
        <f>+E50</f>
        <v>900</v>
      </c>
      <c r="F51" s="24">
        <f>+G51-97</f>
        <v>30.340000000000003</v>
      </c>
      <c r="G51" s="63">
        <v>127.34</v>
      </c>
      <c r="H51" s="26">
        <f>G51/D51</f>
        <v>0.9161151079136691</v>
      </c>
      <c r="I51" s="32">
        <f t="shared" si="1"/>
        <v>0.1414888888888889</v>
      </c>
    </row>
    <row r="52" spans="1:9" ht="15.75">
      <c r="A52" s="95"/>
      <c r="B52" s="84" t="s">
        <v>38</v>
      </c>
      <c r="C52" s="97" t="s">
        <v>19</v>
      </c>
      <c r="D52" s="100">
        <f>+D53/D51*10</f>
        <v>142.23021582733813</v>
      </c>
      <c r="E52" s="63">
        <f>+E53/E51*10</f>
        <v>15</v>
      </c>
      <c r="F52" s="88">
        <f>+F53/F51*10</f>
        <v>140.40870138431112</v>
      </c>
      <c r="G52" s="68">
        <f>+G53/G51*10</f>
        <v>142.68886445735825</v>
      </c>
      <c r="H52" s="26">
        <f>G52/D52</f>
        <v>1.0032246919359027</v>
      </c>
      <c r="I52" s="32">
        <f t="shared" si="1"/>
        <v>9.512590963823884</v>
      </c>
    </row>
    <row r="53" spans="1:9" ht="15.75">
      <c r="A53" s="95"/>
      <c r="B53" s="91" t="s">
        <v>39</v>
      </c>
      <c r="C53" s="97" t="s">
        <v>32</v>
      </c>
      <c r="D53" s="99">
        <v>1977</v>
      </c>
      <c r="E53" s="63">
        <v>1350</v>
      </c>
      <c r="F53" s="24">
        <f>+G53-1391</f>
        <v>426</v>
      </c>
      <c r="G53" s="63">
        <v>1817</v>
      </c>
      <c r="H53" s="26">
        <f>G53/D53</f>
        <v>0.919069296914517</v>
      </c>
      <c r="I53" s="32">
        <f t="shared" si="1"/>
        <v>1.345925925925926</v>
      </c>
    </row>
    <row r="54" spans="1:9" ht="15.75">
      <c r="A54" s="102" t="s">
        <v>47</v>
      </c>
      <c r="B54" s="34" t="s">
        <v>48</v>
      </c>
      <c r="C54" s="72" t="s">
        <v>49</v>
      </c>
      <c r="D54" s="83">
        <f>+D56+D61+D67+D71</f>
        <v>11652.11</v>
      </c>
      <c r="E54" s="83">
        <f>+E56+E61+E67+E71</f>
        <v>15880</v>
      </c>
      <c r="F54" s="83">
        <f>+F56+F61+F67+F71</f>
        <v>2104.7299999999996</v>
      </c>
      <c r="G54" s="83">
        <f>+G56+G61+G67+G71</f>
        <v>11315.73</v>
      </c>
      <c r="H54" s="26">
        <f>G54/D54</f>
        <v>0.971131408817802</v>
      </c>
      <c r="I54" s="32">
        <f t="shared" si="1"/>
        <v>0.7125774559193955</v>
      </c>
    </row>
    <row r="55" spans="1:9" ht="15.75">
      <c r="A55" s="80"/>
      <c r="B55" s="34" t="s">
        <v>50</v>
      </c>
      <c r="C55" s="90" t="s">
        <v>13</v>
      </c>
      <c r="D55" s="103"/>
      <c r="E55" s="104"/>
      <c r="F55" s="24"/>
      <c r="G55" s="105"/>
      <c r="H55" s="26"/>
      <c r="I55" s="32"/>
    </row>
    <row r="56" spans="1:9" ht="15.75">
      <c r="A56" s="80"/>
      <c r="B56" s="84" t="s">
        <v>36</v>
      </c>
      <c r="C56" s="72" t="s">
        <v>13</v>
      </c>
      <c r="D56" s="69">
        <v>3522.68</v>
      </c>
      <c r="E56" s="69">
        <v>5000</v>
      </c>
      <c r="F56" s="24">
        <f>G56-3069</f>
        <v>513.6999999999998</v>
      </c>
      <c r="G56" s="69">
        <v>3582.7</v>
      </c>
      <c r="H56" s="26">
        <f>G56/D56</f>
        <v>1.0170381641250412</v>
      </c>
      <c r="I56" s="32">
        <f>G56/E56</f>
        <v>0.71654</v>
      </c>
    </row>
    <row r="57" spans="1:9" ht="15.75">
      <c r="A57" s="80"/>
      <c r="B57" s="84" t="s">
        <v>37</v>
      </c>
      <c r="C57" s="85" t="s">
        <v>29</v>
      </c>
      <c r="D57" s="76">
        <v>634</v>
      </c>
      <c r="E57" s="86">
        <f>+E56</f>
        <v>5000</v>
      </c>
      <c r="F57" s="24">
        <f>+G57-1234</f>
        <v>484</v>
      </c>
      <c r="G57" s="86">
        <v>1718</v>
      </c>
      <c r="H57" s="26">
        <f>G57/D57</f>
        <v>2.7097791798107256</v>
      </c>
      <c r="I57" s="32">
        <f>G57/E57</f>
        <v>0.3436</v>
      </c>
    </row>
    <row r="58" spans="1:9" ht="15.75">
      <c r="A58" s="80"/>
      <c r="B58" s="84" t="s">
        <v>38</v>
      </c>
      <c r="C58" s="72" t="s">
        <v>19</v>
      </c>
      <c r="D58" s="78">
        <f>+D59/D57*10</f>
        <v>45.18927444794953</v>
      </c>
      <c r="E58" s="87">
        <f>+E59/E57*10</f>
        <v>51.7</v>
      </c>
      <c r="F58" s="88">
        <f>+F59/F57*10</f>
        <v>44.48553719008265</v>
      </c>
      <c r="G58" s="87">
        <f>+G59/G57*10</f>
        <v>44.5</v>
      </c>
      <c r="H58" s="26">
        <f>G58/D58</f>
        <v>0.9847469458987783</v>
      </c>
      <c r="I58" s="32">
        <f>G58/E58</f>
        <v>0.8607350096711799</v>
      </c>
    </row>
    <row r="59" spans="1:9" ht="15.75">
      <c r="A59" s="80"/>
      <c r="B59" s="91" t="s">
        <v>39</v>
      </c>
      <c r="C59" s="72" t="s">
        <v>32</v>
      </c>
      <c r="D59" s="93">
        <v>2865</v>
      </c>
      <c r="E59" s="24">
        <v>25850</v>
      </c>
      <c r="F59" s="24">
        <f>+G59-5492</f>
        <v>2153.1000000000004</v>
      </c>
      <c r="G59" s="24">
        <f>+G57*4.45</f>
        <v>7645.1</v>
      </c>
      <c r="H59" s="26">
        <f>G59/D59</f>
        <v>2.668446771378709</v>
      </c>
      <c r="I59" s="32">
        <f>G59/E59</f>
        <v>0.2957485493230174</v>
      </c>
    </row>
    <row r="60" spans="1:9" ht="15.75">
      <c r="A60" s="80"/>
      <c r="B60" s="34" t="s">
        <v>51</v>
      </c>
      <c r="C60" s="72"/>
      <c r="D60" s="103"/>
      <c r="E60" s="24"/>
      <c r="F60" s="24"/>
      <c r="G60" s="103"/>
      <c r="H60" s="26"/>
      <c r="I60" s="32"/>
    </row>
    <row r="61" spans="1:9" ht="15.75">
      <c r="A61" s="80"/>
      <c r="B61" s="84" t="s">
        <v>52</v>
      </c>
      <c r="C61" s="72" t="s">
        <v>13</v>
      </c>
      <c r="D61" s="69">
        <v>5547.55</v>
      </c>
      <c r="E61" s="69">
        <v>6300</v>
      </c>
      <c r="F61" s="24">
        <f>G61-4490</f>
        <v>919.4799999999996</v>
      </c>
      <c r="G61" s="69">
        <v>5409.48</v>
      </c>
      <c r="H61" s="26">
        <f>G61/D61</f>
        <v>0.9751115357229767</v>
      </c>
      <c r="I61" s="32">
        <f>G61/E61</f>
        <v>0.858647619047619</v>
      </c>
    </row>
    <row r="62" spans="1:9" ht="15.75">
      <c r="A62" s="80"/>
      <c r="B62" s="96" t="s">
        <v>53</v>
      </c>
      <c r="C62" s="85" t="s">
        <v>29</v>
      </c>
      <c r="D62" s="24"/>
      <c r="E62" s="24"/>
      <c r="F62" s="24"/>
      <c r="G62" s="24"/>
      <c r="H62" s="26"/>
      <c r="I62" s="32"/>
    </row>
    <row r="63" spans="1:9" ht="15.75">
      <c r="A63" s="80"/>
      <c r="B63" s="84" t="s">
        <v>37</v>
      </c>
      <c r="C63" s="85" t="s">
        <v>29</v>
      </c>
      <c r="D63" s="86">
        <v>3177</v>
      </c>
      <c r="E63" s="86">
        <f>+E61</f>
        <v>6300</v>
      </c>
      <c r="F63" s="24">
        <f>G63-3178</f>
        <v>150.25</v>
      </c>
      <c r="G63" s="86">
        <v>3328.25</v>
      </c>
      <c r="H63" s="32">
        <f>G63/D63</f>
        <v>1.0476078061063896</v>
      </c>
      <c r="I63" s="32">
        <f>G63/E63</f>
        <v>0.5282936507936508</v>
      </c>
    </row>
    <row r="64" spans="1:9" ht="15.75">
      <c r="A64" s="80"/>
      <c r="B64" s="84" t="s">
        <v>54</v>
      </c>
      <c r="C64" s="72" t="s">
        <v>19</v>
      </c>
      <c r="D64" s="87">
        <f>+D65/D63*10</f>
        <v>987.5196726471513</v>
      </c>
      <c r="E64" s="86">
        <f>+E65/E63*10</f>
        <v>1100</v>
      </c>
      <c r="F64" s="24">
        <f>F65/F63*10</f>
        <v>1092.7121464226288</v>
      </c>
      <c r="G64" s="86">
        <f>+G65/G63*10</f>
        <v>1094.5001126718244</v>
      </c>
      <c r="H64" s="32">
        <f>G64/D64</f>
        <v>1.108332464646401</v>
      </c>
      <c r="I64" s="32">
        <f>G64/E64</f>
        <v>0.9950001024289312</v>
      </c>
    </row>
    <row r="65" spans="1:9" ht="15.75">
      <c r="A65" s="80"/>
      <c r="B65" s="91" t="s">
        <v>39</v>
      </c>
      <c r="C65" s="72" t="s">
        <v>32</v>
      </c>
      <c r="D65" s="24">
        <v>313735</v>
      </c>
      <c r="E65" s="24">
        <v>693000</v>
      </c>
      <c r="F65" s="24">
        <f>+G65-347859</f>
        <v>16418</v>
      </c>
      <c r="G65" s="24">
        <v>364277</v>
      </c>
      <c r="H65" s="32">
        <f>G65/D65</f>
        <v>1.161097741724704</v>
      </c>
      <c r="I65" s="32">
        <f>G65/E65</f>
        <v>0.5256522366522367</v>
      </c>
    </row>
    <row r="66" spans="1:9" ht="15.75">
      <c r="A66" s="80"/>
      <c r="B66" s="101" t="s">
        <v>55</v>
      </c>
      <c r="C66" s="72"/>
      <c r="D66" s="24"/>
      <c r="E66" s="24"/>
      <c r="F66" s="24"/>
      <c r="G66" s="24"/>
      <c r="H66" s="26"/>
      <c r="I66" s="32"/>
    </row>
    <row r="67" spans="1:9" ht="15.75">
      <c r="A67" s="80"/>
      <c r="B67" s="84" t="s">
        <v>36</v>
      </c>
      <c r="C67" s="72" t="s">
        <v>13</v>
      </c>
      <c r="D67" s="24">
        <v>1320.88</v>
      </c>
      <c r="E67" s="24">
        <v>2500</v>
      </c>
      <c r="F67" s="24">
        <f>G67-1134</f>
        <v>155.54999999999995</v>
      </c>
      <c r="G67" s="24">
        <v>1289.55</v>
      </c>
      <c r="H67" s="26">
        <f aca="true" t="shared" si="2" ref="H67:H73">G67/D67</f>
        <v>0.976280964205681</v>
      </c>
      <c r="I67" s="32">
        <f aca="true" t="shared" si="3" ref="I67:I73">G67/E67</f>
        <v>0.51582</v>
      </c>
    </row>
    <row r="68" spans="1:9" ht="15.75">
      <c r="A68" s="80"/>
      <c r="B68" s="84" t="s">
        <v>37</v>
      </c>
      <c r="C68" s="85" t="s">
        <v>29</v>
      </c>
      <c r="D68" s="86">
        <v>186</v>
      </c>
      <c r="E68" s="86">
        <f>+E67</f>
        <v>2500</v>
      </c>
      <c r="F68" s="24">
        <f>+G68-120</f>
        <v>48</v>
      </c>
      <c r="G68" s="86">
        <v>168</v>
      </c>
      <c r="H68" s="26"/>
      <c r="I68" s="32">
        <f t="shared" si="3"/>
        <v>0.0672</v>
      </c>
    </row>
    <row r="69" spans="1:9" ht="15.75">
      <c r="A69" s="80"/>
      <c r="B69" s="84" t="s">
        <v>38</v>
      </c>
      <c r="C69" s="72" t="s">
        <v>19</v>
      </c>
      <c r="D69" s="87">
        <f>+D70/D68*10</f>
        <v>88.27956989247312</v>
      </c>
      <c r="E69" s="87">
        <f>+E70/E68*10</f>
        <v>100</v>
      </c>
      <c r="F69" s="87">
        <f>+F70/F68*10</f>
        <v>90.20833333333334</v>
      </c>
      <c r="G69" s="87">
        <f>+G70/G68*10</f>
        <v>88.1547619047619</v>
      </c>
      <c r="H69" s="26"/>
      <c r="I69" s="32">
        <f t="shared" si="3"/>
        <v>0.881547619047619</v>
      </c>
    </row>
    <row r="70" spans="1:9" ht="15.75">
      <c r="A70" s="80"/>
      <c r="B70" s="106" t="s">
        <v>39</v>
      </c>
      <c r="C70" s="72" t="s">
        <v>32</v>
      </c>
      <c r="D70" s="24">
        <v>1642</v>
      </c>
      <c r="E70" s="24">
        <v>25000</v>
      </c>
      <c r="F70" s="24">
        <f>+G70-1048</f>
        <v>433</v>
      </c>
      <c r="G70" s="24">
        <v>1481</v>
      </c>
      <c r="H70" s="26"/>
      <c r="I70" s="32">
        <f t="shared" si="3"/>
        <v>0.05924</v>
      </c>
    </row>
    <row r="71" spans="1:9" ht="15.75">
      <c r="A71" s="80"/>
      <c r="B71" s="107" t="s">
        <v>56</v>
      </c>
      <c r="C71" s="108" t="s">
        <v>57</v>
      </c>
      <c r="D71" s="109">
        <f>SUM(D72:D73)</f>
        <v>1261</v>
      </c>
      <c r="E71" s="109">
        <f>SUM(E72:E73)</f>
        <v>2080</v>
      </c>
      <c r="F71" s="109">
        <f>F72+F73</f>
        <v>516</v>
      </c>
      <c r="G71" s="109">
        <f>G72+G73</f>
        <v>1034</v>
      </c>
      <c r="H71" s="26">
        <f t="shared" si="2"/>
        <v>0.8199841395717684</v>
      </c>
      <c r="I71" s="32">
        <f t="shared" si="3"/>
        <v>0.4971153846153846</v>
      </c>
    </row>
    <row r="72" spans="1:9" ht="15.75">
      <c r="A72" s="80"/>
      <c r="B72" s="110" t="s">
        <v>58</v>
      </c>
      <c r="C72" s="108" t="s">
        <v>13</v>
      </c>
      <c r="D72" s="63">
        <v>1192</v>
      </c>
      <c r="E72" s="63">
        <v>1900</v>
      </c>
      <c r="F72" s="24">
        <f>G72-507</f>
        <v>499</v>
      </c>
      <c r="G72" s="63">
        <v>1006</v>
      </c>
      <c r="H72" s="26">
        <f t="shared" si="2"/>
        <v>0.8439597315436241</v>
      </c>
      <c r="I72" s="32">
        <f t="shared" si="3"/>
        <v>0.5294736842105263</v>
      </c>
    </row>
    <row r="73" spans="1:9" ht="15.75">
      <c r="A73" s="80"/>
      <c r="B73" s="110" t="s">
        <v>59</v>
      </c>
      <c r="C73" s="108" t="s">
        <v>57</v>
      </c>
      <c r="D73" s="63">
        <v>69</v>
      </c>
      <c r="E73" s="63">
        <v>180</v>
      </c>
      <c r="F73" s="24">
        <f>G73-11</f>
        <v>17</v>
      </c>
      <c r="G73" s="63">
        <v>28</v>
      </c>
      <c r="H73" s="26">
        <f t="shared" si="2"/>
        <v>0.4057971014492754</v>
      </c>
      <c r="I73" s="32">
        <f t="shared" si="3"/>
        <v>0.15555555555555556</v>
      </c>
    </row>
    <row r="74" spans="1:9" ht="15.75">
      <c r="A74" s="102">
        <v>2</v>
      </c>
      <c r="B74" s="111" t="s">
        <v>60</v>
      </c>
      <c r="C74" s="72"/>
      <c r="D74" s="105"/>
      <c r="E74" s="60"/>
      <c r="F74" s="60"/>
      <c r="G74" s="60"/>
      <c r="H74" s="26"/>
      <c r="I74" s="32"/>
    </row>
    <row r="75" spans="1:9" ht="15.75">
      <c r="A75" s="102">
        <v>3</v>
      </c>
      <c r="B75" s="111" t="s">
        <v>61</v>
      </c>
      <c r="C75" s="72"/>
      <c r="D75" s="105"/>
      <c r="E75" s="24"/>
      <c r="F75" s="24"/>
      <c r="G75" s="24"/>
      <c r="H75" s="26"/>
      <c r="I75" s="32"/>
    </row>
    <row r="76" spans="1:9" ht="15.75">
      <c r="A76" s="102" t="s">
        <v>62</v>
      </c>
      <c r="B76" s="112" t="s">
        <v>63</v>
      </c>
      <c r="C76" s="113"/>
      <c r="D76" s="105"/>
      <c r="E76" s="24"/>
      <c r="F76" s="24"/>
      <c r="G76" s="103"/>
      <c r="H76" s="26"/>
      <c r="I76" s="32"/>
    </row>
    <row r="77" spans="1:9" ht="15.75">
      <c r="A77" s="114" t="s">
        <v>6</v>
      </c>
      <c r="B77" s="75" t="s">
        <v>64</v>
      </c>
      <c r="C77" s="115"/>
      <c r="D77" s="105"/>
      <c r="E77" s="105"/>
      <c r="F77" s="105"/>
      <c r="G77" s="105"/>
      <c r="H77" s="26"/>
      <c r="I77" s="32"/>
    </row>
    <row r="78" spans="1:9" ht="15.75">
      <c r="A78" s="114" t="s">
        <v>65</v>
      </c>
      <c r="B78" s="61" t="s">
        <v>66</v>
      </c>
      <c r="C78" s="70"/>
      <c r="D78" s="105"/>
      <c r="E78" s="105"/>
      <c r="F78" s="105"/>
      <c r="G78" s="105"/>
      <c r="H78" s="26"/>
      <c r="I78" s="32"/>
    </row>
    <row r="79" spans="1:9" ht="15.75">
      <c r="A79" s="114" t="s">
        <v>14</v>
      </c>
      <c r="B79" s="116" t="s">
        <v>67</v>
      </c>
      <c r="C79" s="70" t="s">
        <v>13</v>
      </c>
      <c r="D79" s="105"/>
      <c r="E79" s="105"/>
      <c r="F79" s="105"/>
      <c r="G79" s="105"/>
      <c r="H79" s="26"/>
      <c r="I79" s="32"/>
    </row>
    <row r="80" spans="1:9" ht="15.75">
      <c r="A80" s="117"/>
      <c r="B80" s="118" t="s">
        <v>68</v>
      </c>
      <c r="C80" s="70"/>
      <c r="D80" s="105"/>
      <c r="E80" s="105"/>
      <c r="F80" s="105"/>
      <c r="G80" s="105"/>
      <c r="H80" s="26"/>
      <c r="I80" s="32"/>
    </row>
    <row r="81" spans="1:9" ht="15.75">
      <c r="A81" s="117"/>
      <c r="B81" s="116" t="s">
        <v>69</v>
      </c>
      <c r="C81" s="72" t="s">
        <v>70</v>
      </c>
      <c r="D81" s="105"/>
      <c r="E81" s="116"/>
      <c r="F81" s="116"/>
      <c r="G81" s="105"/>
      <c r="H81" s="26"/>
      <c r="I81" s="32"/>
    </row>
    <row r="82" spans="1:9" ht="15.75">
      <c r="A82" s="117"/>
      <c r="B82" s="119" t="s">
        <v>71</v>
      </c>
      <c r="C82" s="72" t="s">
        <v>70</v>
      </c>
      <c r="D82" s="86"/>
      <c r="E82" s="105"/>
      <c r="F82" s="105"/>
      <c r="G82" s="105"/>
      <c r="H82" s="26"/>
      <c r="I82" s="32"/>
    </row>
    <row r="83" spans="1:9" ht="15.75">
      <c r="A83" s="117"/>
      <c r="B83" s="116" t="s">
        <v>72</v>
      </c>
      <c r="C83" s="72" t="s">
        <v>70</v>
      </c>
      <c r="D83" s="105"/>
      <c r="E83" s="105"/>
      <c r="F83" s="105"/>
      <c r="G83" s="105"/>
      <c r="H83" s="26"/>
      <c r="I83" s="32"/>
    </row>
    <row r="84" spans="1:9" ht="15.75">
      <c r="A84" s="117"/>
      <c r="B84" s="91" t="s">
        <v>73</v>
      </c>
      <c r="C84" s="70" t="s">
        <v>13</v>
      </c>
      <c r="D84" s="105"/>
      <c r="E84" s="105"/>
      <c r="F84" s="105"/>
      <c r="G84" s="105"/>
      <c r="H84" s="26"/>
      <c r="I84" s="32"/>
    </row>
    <row r="85" spans="1:9" ht="15.75">
      <c r="A85" s="114" t="s">
        <v>33</v>
      </c>
      <c r="B85" s="116" t="s">
        <v>74</v>
      </c>
      <c r="C85" s="70" t="s">
        <v>13</v>
      </c>
      <c r="D85" s="105"/>
      <c r="E85" s="105"/>
      <c r="F85" s="105"/>
      <c r="G85" s="105"/>
      <c r="H85" s="26"/>
      <c r="I85" s="32"/>
    </row>
    <row r="86" spans="1:9" ht="15.75">
      <c r="A86" s="114" t="s">
        <v>42</v>
      </c>
      <c r="B86" s="116" t="s">
        <v>75</v>
      </c>
      <c r="C86" s="70" t="s">
        <v>13</v>
      </c>
      <c r="D86" s="105"/>
      <c r="E86" s="105"/>
      <c r="F86" s="105"/>
      <c r="G86" s="105"/>
      <c r="H86" s="26"/>
      <c r="I86" s="32"/>
    </row>
    <row r="87" spans="1:9" ht="15.75">
      <c r="A87" s="114" t="s">
        <v>76</v>
      </c>
      <c r="B87" s="116" t="s">
        <v>77</v>
      </c>
      <c r="C87" s="70" t="s">
        <v>13</v>
      </c>
      <c r="D87" s="105"/>
      <c r="E87" s="86"/>
      <c r="F87" s="105"/>
      <c r="G87" s="86"/>
      <c r="H87" s="26"/>
      <c r="I87" s="32"/>
    </row>
    <row r="88" spans="1:9" ht="15.75">
      <c r="A88" s="114" t="s">
        <v>78</v>
      </c>
      <c r="B88" s="116" t="s">
        <v>79</v>
      </c>
      <c r="C88" s="70" t="s">
        <v>80</v>
      </c>
      <c r="D88" s="26"/>
      <c r="E88" s="86"/>
      <c r="F88" s="105"/>
      <c r="G88" s="105"/>
      <c r="H88" s="26"/>
      <c r="I88" s="32"/>
    </row>
    <row r="89" spans="1:9" ht="15.75">
      <c r="A89" s="117" t="s">
        <v>81</v>
      </c>
      <c r="B89" s="120" t="s">
        <v>82</v>
      </c>
      <c r="C89" s="121"/>
      <c r="D89" s="122"/>
      <c r="E89" s="105"/>
      <c r="F89" s="105"/>
      <c r="G89" s="105"/>
      <c r="H89" s="26"/>
      <c r="I89" s="32"/>
    </row>
    <row r="90" spans="1:9" ht="16.5">
      <c r="A90" s="117"/>
      <c r="B90" s="116" t="s">
        <v>83</v>
      </c>
      <c r="C90" s="70" t="s">
        <v>158</v>
      </c>
      <c r="D90" s="123"/>
      <c r="E90" s="105"/>
      <c r="F90" s="105"/>
      <c r="G90" s="105"/>
      <c r="H90" s="26"/>
      <c r="I90" s="32"/>
    </row>
    <row r="91" spans="1:9" ht="15.75">
      <c r="A91" s="117"/>
      <c r="B91" s="116" t="s">
        <v>159</v>
      </c>
      <c r="C91" s="72" t="s">
        <v>70</v>
      </c>
      <c r="D91" s="124"/>
      <c r="E91" s="105"/>
      <c r="F91" s="105"/>
      <c r="G91" s="105"/>
      <c r="H91" s="26"/>
      <c r="I91" s="32"/>
    </row>
    <row r="92" spans="1:9" ht="15.75">
      <c r="A92" s="114" t="s">
        <v>7</v>
      </c>
      <c r="B92" s="125" t="s">
        <v>84</v>
      </c>
      <c r="C92" s="121"/>
      <c r="D92" s="87"/>
      <c r="E92" s="105"/>
      <c r="F92" s="105"/>
      <c r="G92" s="105"/>
      <c r="H92" s="26"/>
      <c r="I92" s="32"/>
    </row>
    <row r="93" spans="1:9" ht="15.75">
      <c r="A93" s="126" t="s">
        <v>85</v>
      </c>
      <c r="B93" s="75" t="s">
        <v>86</v>
      </c>
      <c r="C93" s="115"/>
      <c r="D93" s="127"/>
      <c r="E93" s="128"/>
      <c r="F93" s="129"/>
      <c r="G93" s="26"/>
      <c r="H93" s="32"/>
      <c r="I93" s="105"/>
    </row>
    <row r="94" spans="1:11" ht="15.75">
      <c r="A94" s="117" t="s">
        <v>65</v>
      </c>
      <c r="B94" s="120" t="s">
        <v>87</v>
      </c>
      <c r="C94" s="70" t="s">
        <v>13</v>
      </c>
      <c r="D94" s="122">
        <f>D95+D102</f>
        <v>27441.05</v>
      </c>
      <c r="E94" s="122">
        <f>E95+E102</f>
        <v>52290</v>
      </c>
      <c r="F94" s="122">
        <f>F95+F102</f>
        <v>8902.24</v>
      </c>
      <c r="G94" s="122">
        <f>G95+G102</f>
        <v>35275.54000000001</v>
      </c>
      <c r="H94" s="26">
        <f>G94/D94</f>
        <v>1.2855025591221914</v>
      </c>
      <c r="I94" s="32">
        <f aca="true" t="shared" si="4" ref="I94:I100">G94/E94</f>
        <v>0.67461350162555</v>
      </c>
      <c r="K94" s="39"/>
    </row>
    <row r="95" spans="1:11" ht="15.75">
      <c r="A95" s="114" t="s">
        <v>14</v>
      </c>
      <c r="B95" s="120" t="s">
        <v>88</v>
      </c>
      <c r="C95" s="72" t="s">
        <v>70</v>
      </c>
      <c r="D95" s="130">
        <f>D96+D99+D101</f>
        <v>443.49999999999994</v>
      </c>
      <c r="E95" s="130">
        <f>E96+E99+E101</f>
        <v>12000</v>
      </c>
      <c r="F95" s="131">
        <f>F96+F99+G97</f>
        <v>275.7</v>
      </c>
      <c r="G95" s="123">
        <f>G96+G99+G101</f>
        <v>602.6899999999999</v>
      </c>
      <c r="H95" s="26">
        <f>G95/D95</f>
        <v>1.3589402480270576</v>
      </c>
      <c r="I95" s="32">
        <f t="shared" si="4"/>
        <v>0.05022416666666666</v>
      </c>
      <c r="K95" s="40"/>
    </row>
    <row r="96" spans="1:11" ht="15.75">
      <c r="A96" s="117"/>
      <c r="B96" s="116" t="s">
        <v>89</v>
      </c>
      <c r="C96" s="72" t="s">
        <v>70</v>
      </c>
      <c r="D96" s="124">
        <f>310+92.9+12.9</f>
        <v>415.79999999999995</v>
      </c>
      <c r="E96" s="86">
        <v>10600</v>
      </c>
      <c r="F96" s="124">
        <f>G96-325.13</f>
        <v>231.90999999999997</v>
      </c>
      <c r="G96" s="127">
        <f>450+G97+G98</f>
        <v>557.04</v>
      </c>
      <c r="H96" s="26">
        <f>G96/D96</f>
        <v>1.3396825396825398</v>
      </c>
      <c r="I96" s="32">
        <f t="shared" si="4"/>
        <v>0.05255094339622641</v>
      </c>
      <c r="K96" s="41"/>
    </row>
    <row r="97" spans="1:11" ht="15.75">
      <c r="A97" s="117"/>
      <c r="B97" s="116" t="s">
        <v>90</v>
      </c>
      <c r="C97" s="72" t="s">
        <v>70</v>
      </c>
      <c r="D97" s="87">
        <v>12.9</v>
      </c>
      <c r="E97" s="86">
        <v>70</v>
      </c>
      <c r="F97" s="87">
        <f>G97-3.09</f>
        <v>0.4500000000000002</v>
      </c>
      <c r="G97" s="78">
        <v>3.54</v>
      </c>
      <c r="H97" s="26">
        <f>G97/D97</f>
        <v>0.2744186046511628</v>
      </c>
      <c r="I97" s="32">
        <f t="shared" si="4"/>
        <v>0.05057142857142857</v>
      </c>
      <c r="K97" s="42"/>
    </row>
    <row r="98" spans="1:11" ht="15.75">
      <c r="A98" s="117"/>
      <c r="B98" s="132" t="s">
        <v>152</v>
      </c>
      <c r="C98" s="72" t="s">
        <v>70</v>
      </c>
      <c r="D98" s="133"/>
      <c r="E98" s="86">
        <v>305</v>
      </c>
      <c r="F98" s="87">
        <f>G98-69.04</f>
        <v>34.459999999999994</v>
      </c>
      <c r="G98" s="78">
        <v>103.5</v>
      </c>
      <c r="H98" s="26"/>
      <c r="I98" s="32">
        <f t="shared" si="4"/>
        <v>0.33934426229508197</v>
      </c>
      <c r="K98" s="42"/>
    </row>
    <row r="99" spans="1:11" ht="15.75">
      <c r="A99" s="117"/>
      <c r="B99" s="116" t="s">
        <v>91</v>
      </c>
      <c r="C99" s="72" t="s">
        <v>70</v>
      </c>
      <c r="D99" s="127">
        <v>27.7</v>
      </c>
      <c r="E99" s="86">
        <v>1300</v>
      </c>
      <c r="F99" s="124">
        <f>G99-5.4</f>
        <v>40.25</v>
      </c>
      <c r="G99" s="127">
        <f>G100</f>
        <v>45.65</v>
      </c>
      <c r="H99" s="26">
        <f>G99/D99</f>
        <v>1.6480144404332129</v>
      </c>
      <c r="I99" s="32">
        <f t="shared" si="4"/>
        <v>0.03511538461538462</v>
      </c>
      <c r="K99" s="41"/>
    </row>
    <row r="100" spans="1:11" ht="15.75">
      <c r="A100" s="117"/>
      <c r="B100" s="116" t="s">
        <v>92</v>
      </c>
      <c r="C100" s="72" t="s">
        <v>70</v>
      </c>
      <c r="D100" s="127">
        <v>27.7</v>
      </c>
      <c r="E100" s="86">
        <f>+E99</f>
        <v>1300</v>
      </c>
      <c r="F100" s="124">
        <f>G100-5.4</f>
        <v>40.25</v>
      </c>
      <c r="G100" s="127">
        <v>45.65</v>
      </c>
      <c r="H100" s="26">
        <f>G100/D100</f>
        <v>1.6480144404332129</v>
      </c>
      <c r="I100" s="32">
        <f t="shared" si="4"/>
        <v>0.03511538461538462</v>
      </c>
      <c r="K100" s="41"/>
    </row>
    <row r="101" spans="1:11" ht="15.75">
      <c r="A101" s="117"/>
      <c r="B101" s="116" t="s">
        <v>93</v>
      </c>
      <c r="C101" s="72" t="s">
        <v>70</v>
      </c>
      <c r="D101" s="124"/>
      <c r="E101" s="134">
        <v>100</v>
      </c>
      <c r="F101" s="124"/>
      <c r="G101" s="116"/>
      <c r="H101" s="26"/>
      <c r="I101" s="32"/>
      <c r="K101" s="43"/>
    </row>
    <row r="102" spans="1:11" ht="15.75">
      <c r="A102" s="114" t="s">
        <v>33</v>
      </c>
      <c r="B102" s="120" t="s">
        <v>94</v>
      </c>
      <c r="C102" s="70" t="s">
        <v>13</v>
      </c>
      <c r="D102" s="130">
        <f>D103+D106+D110</f>
        <v>26997.55</v>
      </c>
      <c r="E102" s="130">
        <f>E103+E106+E110</f>
        <v>40290</v>
      </c>
      <c r="F102" s="130">
        <f>F103+F106+F110</f>
        <v>8626.539999999999</v>
      </c>
      <c r="G102" s="130">
        <f>G103+G106+G110</f>
        <v>34672.850000000006</v>
      </c>
      <c r="H102" s="26">
        <f>G102/D102</f>
        <v>1.2842961676152098</v>
      </c>
      <c r="I102" s="32">
        <f>G102/E102</f>
        <v>0.8605820302804668</v>
      </c>
      <c r="K102" s="44"/>
    </row>
    <row r="103" spans="1:11" ht="15.75">
      <c r="A103" s="117"/>
      <c r="B103" s="116" t="s">
        <v>89</v>
      </c>
      <c r="C103" s="72"/>
      <c r="D103" s="124"/>
      <c r="E103" s="86"/>
      <c r="F103" s="105"/>
      <c r="G103" s="135"/>
      <c r="H103" s="26"/>
      <c r="I103" s="32"/>
      <c r="K103" s="45"/>
    </row>
    <row r="104" spans="1:11" ht="15.75">
      <c r="A104" s="117"/>
      <c r="B104" s="116" t="s">
        <v>95</v>
      </c>
      <c r="C104" s="72" t="s">
        <v>70</v>
      </c>
      <c r="D104" s="136"/>
      <c r="E104" s="86"/>
      <c r="F104" s="105"/>
      <c r="G104" s="135"/>
      <c r="H104" s="26"/>
      <c r="I104" s="32"/>
      <c r="K104" s="45"/>
    </row>
    <row r="105" spans="1:11" ht="15.75">
      <c r="A105" s="117"/>
      <c r="B105" s="116" t="s">
        <v>96</v>
      </c>
      <c r="C105" s="72"/>
      <c r="D105" s="116"/>
      <c r="E105" s="86"/>
      <c r="F105" s="105"/>
      <c r="G105" s="116"/>
      <c r="H105" s="26"/>
      <c r="I105" s="32"/>
      <c r="K105" s="43"/>
    </row>
    <row r="106" spans="1:11" ht="15.75">
      <c r="A106" s="117"/>
      <c r="B106" s="116" t="s">
        <v>91</v>
      </c>
      <c r="C106" s="72" t="s">
        <v>70</v>
      </c>
      <c r="D106" s="137">
        <f>D107+D108+D109</f>
        <v>26897.55</v>
      </c>
      <c r="E106" s="137">
        <f>E107+E108+E109</f>
        <v>38790</v>
      </c>
      <c r="F106" s="137">
        <f>F107+F108+F109</f>
        <v>8594.74</v>
      </c>
      <c r="G106" s="137">
        <f>G107+G108+G109</f>
        <v>34546.05</v>
      </c>
      <c r="H106" s="26">
        <f>G106/D106</f>
        <v>1.2843567536820268</v>
      </c>
      <c r="I106" s="32">
        <f>G106/E106</f>
        <v>0.8905916473317866</v>
      </c>
      <c r="K106" s="46"/>
    </row>
    <row r="107" spans="1:11" ht="15.75">
      <c r="A107" s="117"/>
      <c r="B107" s="116" t="s">
        <v>97</v>
      </c>
      <c r="C107" s="72" t="s">
        <v>70</v>
      </c>
      <c r="D107" s="124">
        <v>15428.8</v>
      </c>
      <c r="E107" s="86">
        <v>19000</v>
      </c>
      <c r="F107" s="124">
        <f>G107-12947</f>
        <v>3733.7000000000007</v>
      </c>
      <c r="G107" s="124">
        <v>16680.7</v>
      </c>
      <c r="H107" s="26">
        <f>G107/D107</f>
        <v>1.08114046458571</v>
      </c>
      <c r="I107" s="32">
        <f>G107/E107</f>
        <v>0.8779315789473685</v>
      </c>
      <c r="K107" s="45"/>
    </row>
    <row r="108" spans="1:11" ht="15.75">
      <c r="A108" s="117"/>
      <c r="B108" s="116" t="s">
        <v>98</v>
      </c>
      <c r="C108" s="72" t="s">
        <v>70</v>
      </c>
      <c r="D108" s="124">
        <v>593</v>
      </c>
      <c r="E108" s="86">
        <v>4240</v>
      </c>
      <c r="F108" s="124">
        <f>G108-1828.37</f>
        <v>1789.08</v>
      </c>
      <c r="G108" s="124">
        <v>3617.45</v>
      </c>
      <c r="H108" s="26">
        <f>G108/D108</f>
        <v>6.100252951096121</v>
      </c>
      <c r="I108" s="32">
        <f>G108/E108</f>
        <v>0.8531721698113207</v>
      </c>
      <c r="K108" s="45"/>
    </row>
    <row r="109" spans="1:11" ht="15.75">
      <c r="A109" s="117"/>
      <c r="B109" s="116" t="s">
        <v>99</v>
      </c>
      <c r="C109" s="72" t="s">
        <v>70</v>
      </c>
      <c r="D109" s="124">
        <v>10875.75</v>
      </c>
      <c r="E109" s="86">
        <v>15550</v>
      </c>
      <c r="F109" s="124">
        <f>G109-11175.94</f>
        <v>3071.959999999999</v>
      </c>
      <c r="G109" s="124">
        <v>14247.9</v>
      </c>
      <c r="H109" s="26">
        <f>G109/D109</f>
        <v>1.310061375077581</v>
      </c>
      <c r="I109" s="32">
        <f>G109/E109</f>
        <v>0.9162636655948553</v>
      </c>
      <c r="K109" s="45"/>
    </row>
    <row r="110" spans="1:11" ht="26.25">
      <c r="A110" s="117"/>
      <c r="B110" s="138" t="s">
        <v>100</v>
      </c>
      <c r="C110" s="72" t="s">
        <v>70</v>
      </c>
      <c r="D110" s="136">
        <v>100</v>
      </c>
      <c r="E110" s="24">
        <v>1500</v>
      </c>
      <c r="F110" s="23">
        <f>G110-95</f>
        <v>31.799999999999997</v>
      </c>
      <c r="G110" s="136">
        <v>126.8</v>
      </c>
      <c r="H110" s="26">
        <f>G110/D110</f>
        <v>1.268</v>
      </c>
      <c r="I110" s="32">
        <f>G110/E110</f>
        <v>0.08453333333333334</v>
      </c>
      <c r="K110" s="47"/>
    </row>
    <row r="111" spans="1:11" ht="16.5">
      <c r="A111" s="117" t="s">
        <v>81</v>
      </c>
      <c r="B111" s="61" t="s">
        <v>101</v>
      </c>
      <c r="C111" s="70" t="s">
        <v>158</v>
      </c>
      <c r="D111" s="139"/>
      <c r="E111" s="105"/>
      <c r="F111" s="105"/>
      <c r="G111" s="116"/>
      <c r="H111" s="26"/>
      <c r="I111" s="32"/>
      <c r="K111" s="43"/>
    </row>
    <row r="112" spans="1:11" ht="15.75">
      <c r="A112" s="117"/>
      <c r="B112" s="140" t="s">
        <v>102</v>
      </c>
      <c r="C112" s="72" t="s">
        <v>70</v>
      </c>
      <c r="D112" s="141"/>
      <c r="E112" s="105"/>
      <c r="F112" s="105"/>
      <c r="G112" s="116"/>
      <c r="H112" s="26"/>
      <c r="I112" s="32"/>
      <c r="K112" s="43"/>
    </row>
    <row r="113" spans="1:11" ht="15.75">
      <c r="A113" s="117"/>
      <c r="B113" s="140" t="s">
        <v>103</v>
      </c>
      <c r="C113" s="72" t="s">
        <v>70</v>
      </c>
      <c r="D113" s="142"/>
      <c r="E113" s="105"/>
      <c r="F113" s="105"/>
      <c r="G113" s="116"/>
      <c r="H113" s="26"/>
      <c r="I113" s="32"/>
      <c r="K113" s="43"/>
    </row>
    <row r="114" spans="1:11" ht="15.75">
      <c r="A114" s="117"/>
      <c r="B114" s="140" t="s">
        <v>104</v>
      </c>
      <c r="C114" s="72" t="s">
        <v>70</v>
      </c>
      <c r="D114" s="131"/>
      <c r="E114" s="105"/>
      <c r="F114" s="105"/>
      <c r="G114" s="116"/>
      <c r="H114" s="26"/>
      <c r="I114" s="32"/>
      <c r="K114" s="43"/>
    </row>
    <row r="115" spans="1:11" ht="15.75">
      <c r="A115" s="117" t="s">
        <v>105</v>
      </c>
      <c r="B115" s="120" t="s">
        <v>106</v>
      </c>
      <c r="C115" s="143" t="s">
        <v>107</v>
      </c>
      <c r="D115" s="130"/>
      <c r="E115" s="105"/>
      <c r="F115" s="105"/>
      <c r="G115" s="116"/>
      <c r="H115" s="26"/>
      <c r="I115" s="32"/>
      <c r="K115" s="43"/>
    </row>
    <row r="116" spans="1:11" ht="15.75">
      <c r="A116" s="117"/>
      <c r="B116" s="144" t="s">
        <v>108</v>
      </c>
      <c r="C116" s="143" t="s">
        <v>70</v>
      </c>
      <c r="D116" s="127"/>
      <c r="E116" s="105"/>
      <c r="F116" s="105"/>
      <c r="G116" s="139"/>
      <c r="H116" s="26"/>
      <c r="I116" s="32"/>
      <c r="K116" s="41"/>
    </row>
    <row r="117" spans="1:11" ht="15.75">
      <c r="A117" s="117"/>
      <c r="B117" s="144" t="s">
        <v>109</v>
      </c>
      <c r="C117" s="143" t="s">
        <v>70</v>
      </c>
      <c r="D117" s="124"/>
      <c r="E117" s="105"/>
      <c r="F117" s="105"/>
      <c r="G117" s="139"/>
      <c r="H117" s="26"/>
      <c r="I117" s="32"/>
      <c r="K117" s="41"/>
    </row>
    <row r="118" spans="1:11" ht="15.75">
      <c r="A118" s="117"/>
      <c r="B118" s="144" t="s">
        <v>110</v>
      </c>
      <c r="C118" s="143" t="s">
        <v>70</v>
      </c>
      <c r="D118" s="124"/>
      <c r="E118" s="145"/>
      <c r="F118" s="145"/>
      <c r="G118" s="141"/>
      <c r="H118" s="146"/>
      <c r="I118" s="32"/>
      <c r="K118" s="48"/>
    </row>
    <row r="119" spans="1:11" ht="15.75">
      <c r="A119" s="147">
        <v>4</v>
      </c>
      <c r="B119" s="148" t="s">
        <v>111</v>
      </c>
      <c r="C119" s="70" t="s">
        <v>32</v>
      </c>
      <c r="D119" s="149">
        <f>+D120+D137</f>
        <v>37301.56</v>
      </c>
      <c r="E119" s="149">
        <f>+E120+E137</f>
        <v>172650</v>
      </c>
      <c r="F119" s="149">
        <f>+F120+F137</f>
        <v>12417.900000000001</v>
      </c>
      <c r="G119" s="142">
        <f>+G120+G137</f>
        <v>41658.1</v>
      </c>
      <c r="H119" s="146">
        <f>+G119/D119</f>
        <v>1.1167924344182925</v>
      </c>
      <c r="I119" s="32">
        <f>G119/E119</f>
        <v>0.2412864176078772</v>
      </c>
      <c r="K119" s="49"/>
    </row>
    <row r="120" spans="1:11" ht="15.75">
      <c r="A120" s="117" t="s">
        <v>112</v>
      </c>
      <c r="B120" s="150" t="s">
        <v>113</v>
      </c>
      <c r="C120" s="70" t="s">
        <v>32</v>
      </c>
      <c r="D120" s="130">
        <f>D121+D128</f>
        <v>15168.75</v>
      </c>
      <c r="E120" s="130">
        <f>E121+E128</f>
        <v>96850</v>
      </c>
      <c r="F120" s="130">
        <f>F121+F128</f>
        <v>6171.050000000001</v>
      </c>
      <c r="G120" s="130">
        <f>G121+G128</f>
        <v>18658.69</v>
      </c>
      <c r="H120" s="146">
        <f>+G120/D120</f>
        <v>1.230074330449114</v>
      </c>
      <c r="I120" s="32">
        <f>G120/E120</f>
        <v>0.19265554981930819</v>
      </c>
      <c r="K120" s="50"/>
    </row>
    <row r="121" spans="1:11" ht="15.75">
      <c r="A121" s="114" t="s">
        <v>114</v>
      </c>
      <c r="B121" s="120" t="s">
        <v>88</v>
      </c>
      <c r="C121" s="70" t="s">
        <v>32</v>
      </c>
      <c r="D121" s="130">
        <f>D122+D125+D127</f>
        <v>13640.4</v>
      </c>
      <c r="E121" s="130">
        <f>E122+E125+E127</f>
        <v>54150</v>
      </c>
      <c r="F121" s="130">
        <f>F122+F125+F127</f>
        <v>3265.350000000001</v>
      </c>
      <c r="G121" s="130">
        <f>G122+G125+G127</f>
        <v>14034.09</v>
      </c>
      <c r="H121" s="146">
        <f>+G121/D121</f>
        <v>1.028862056831178</v>
      </c>
      <c r="I121" s="32">
        <f>G121/E121</f>
        <v>0.2591706371191136</v>
      </c>
      <c r="J121" s="170"/>
      <c r="K121" s="44"/>
    </row>
    <row r="122" spans="1:11" ht="15.75">
      <c r="A122" s="117"/>
      <c r="B122" s="116" t="s">
        <v>115</v>
      </c>
      <c r="C122" s="72" t="s">
        <v>70</v>
      </c>
      <c r="D122" s="127">
        <f>5599.1+3353.2+4472-9</f>
        <v>13415.3</v>
      </c>
      <c r="E122" s="86">
        <v>53500</v>
      </c>
      <c r="F122" s="127">
        <f>G122-10504.25</f>
        <v>3254.4500000000007</v>
      </c>
      <c r="G122" s="127">
        <f>+G123+G124+3167.7</f>
        <v>13758.7</v>
      </c>
      <c r="H122" s="146">
        <f>+G122/D122</f>
        <v>1.0255976385172156</v>
      </c>
      <c r="I122" s="32">
        <f>G122/E122</f>
        <v>0.25717196261682246</v>
      </c>
      <c r="K122" s="41"/>
    </row>
    <row r="123" spans="1:11" ht="15.75">
      <c r="A123" s="117"/>
      <c r="B123" s="118" t="s">
        <v>153</v>
      </c>
      <c r="C123" s="72" t="s">
        <v>70</v>
      </c>
      <c r="D123" s="124">
        <v>5599.1</v>
      </c>
      <c r="E123" s="86">
        <v>15500</v>
      </c>
      <c r="F123" s="124">
        <f>G123-1578</f>
        <v>913</v>
      </c>
      <c r="G123" s="124">
        <v>2491</v>
      </c>
      <c r="H123" s="146">
        <f>+G123/D123</f>
        <v>0.4448929292207676</v>
      </c>
      <c r="I123" s="151">
        <f>+G123/E123</f>
        <v>0.16070967741935485</v>
      </c>
      <c r="K123" s="45"/>
    </row>
    <row r="124" spans="1:11" ht="15.75">
      <c r="A124" s="117"/>
      <c r="B124" s="132" t="s">
        <v>152</v>
      </c>
      <c r="C124" s="72" t="s">
        <v>70</v>
      </c>
      <c r="D124" s="133"/>
      <c r="E124" s="86">
        <v>18000</v>
      </c>
      <c r="F124" s="124">
        <f>G124-7717.85</f>
        <v>382.14999999999964</v>
      </c>
      <c r="G124" s="124">
        <v>8100</v>
      </c>
      <c r="H124" s="146"/>
      <c r="I124" s="151"/>
      <c r="K124" s="45"/>
    </row>
    <row r="125" spans="1:11" ht="15.75">
      <c r="A125" s="117"/>
      <c r="B125" s="116" t="s">
        <v>116</v>
      </c>
      <c r="C125" s="72" t="s">
        <v>70</v>
      </c>
      <c r="D125" s="124">
        <v>192.9</v>
      </c>
      <c r="E125" s="86">
        <f>+E126</f>
        <v>650</v>
      </c>
      <c r="F125" s="127">
        <f>F126</f>
        <v>3.1000000000000227</v>
      </c>
      <c r="G125" s="124">
        <f>G126</f>
        <v>237.49</v>
      </c>
      <c r="H125" s="146">
        <f>+G125/D125</f>
        <v>1.2311560393986523</v>
      </c>
      <c r="I125" s="151">
        <f>+G125/E125</f>
        <v>0.3653692307692308</v>
      </c>
      <c r="K125" s="45"/>
    </row>
    <row r="126" spans="1:11" ht="15.75">
      <c r="A126" s="117"/>
      <c r="B126" s="116" t="s">
        <v>117</v>
      </c>
      <c r="C126" s="72" t="s">
        <v>70</v>
      </c>
      <c r="D126" s="124">
        <v>192.9</v>
      </c>
      <c r="E126" s="86">
        <v>650</v>
      </c>
      <c r="F126" s="127">
        <f>G126-234.39</f>
        <v>3.1000000000000227</v>
      </c>
      <c r="G126" s="124">
        <v>237.49</v>
      </c>
      <c r="H126" s="146">
        <f aca="true" t="shared" si="5" ref="H126:H136">+G126/D126</f>
        <v>1.2311560393986523</v>
      </c>
      <c r="I126" s="151">
        <f>+G126/E126</f>
        <v>0.3653692307692308</v>
      </c>
      <c r="K126" s="45"/>
    </row>
    <row r="127" spans="1:11" ht="15.75">
      <c r="A127" s="117"/>
      <c r="B127" s="116" t="s">
        <v>118</v>
      </c>
      <c r="C127" s="72" t="s">
        <v>70</v>
      </c>
      <c r="D127" s="127">
        <v>32.2</v>
      </c>
      <c r="E127" s="86"/>
      <c r="F127" s="127">
        <f>G127-30.1</f>
        <v>7.799999999999997</v>
      </c>
      <c r="G127" s="127">
        <v>37.9</v>
      </c>
      <c r="H127" s="146">
        <f t="shared" si="5"/>
        <v>1.1770186335403725</v>
      </c>
      <c r="I127" s="151"/>
      <c r="K127" s="41"/>
    </row>
    <row r="128" spans="1:11" ht="15.75">
      <c r="A128" s="114" t="s">
        <v>119</v>
      </c>
      <c r="B128" s="120" t="s">
        <v>94</v>
      </c>
      <c r="C128" s="70" t="s">
        <v>32</v>
      </c>
      <c r="D128" s="130">
        <f>D129+D132+D136</f>
        <v>1528.35</v>
      </c>
      <c r="E128" s="130">
        <f>E129+E132+E136</f>
        <v>42700</v>
      </c>
      <c r="F128" s="130">
        <f>F129+F132+F136</f>
        <v>2905.7000000000003</v>
      </c>
      <c r="G128" s="130">
        <f>G129+G132+G136</f>
        <v>4624.599999999999</v>
      </c>
      <c r="H128" s="146">
        <f t="shared" si="5"/>
        <v>3.02587758039716</v>
      </c>
      <c r="I128" s="151">
        <f>+G128/E128</f>
        <v>0.10830444964871193</v>
      </c>
      <c r="K128" s="44"/>
    </row>
    <row r="129" spans="1:11" ht="15.75">
      <c r="A129" s="117"/>
      <c r="B129" s="116" t="s">
        <v>120</v>
      </c>
      <c r="C129" s="72" t="s">
        <v>70</v>
      </c>
      <c r="D129" s="152"/>
      <c r="E129" s="86"/>
      <c r="F129" s="105"/>
      <c r="G129" s="152"/>
      <c r="H129" s="146"/>
      <c r="I129" s="151"/>
      <c r="K129" s="43"/>
    </row>
    <row r="130" spans="1:11" ht="15.75">
      <c r="A130" s="117"/>
      <c r="B130" s="116" t="s">
        <v>121</v>
      </c>
      <c r="C130" s="72" t="s">
        <v>70</v>
      </c>
      <c r="D130" s="116"/>
      <c r="E130" s="86"/>
      <c r="F130" s="105"/>
      <c r="G130" s="116"/>
      <c r="H130" s="146"/>
      <c r="I130" s="151"/>
      <c r="K130" s="43"/>
    </row>
    <row r="131" spans="1:11" ht="15.75">
      <c r="A131" s="117"/>
      <c r="B131" s="116" t="s">
        <v>122</v>
      </c>
      <c r="C131" s="72"/>
      <c r="D131" s="116"/>
      <c r="E131" s="86"/>
      <c r="F131" s="105"/>
      <c r="G131" s="116"/>
      <c r="H131" s="146"/>
      <c r="I131" s="151"/>
      <c r="K131" s="43"/>
    </row>
    <row r="132" spans="1:11" ht="15.75">
      <c r="A132" s="117"/>
      <c r="B132" s="116" t="s">
        <v>123</v>
      </c>
      <c r="C132" s="72" t="s">
        <v>70</v>
      </c>
      <c r="D132" s="86">
        <f>D133+D134+D135</f>
        <v>1501.35</v>
      </c>
      <c r="E132" s="86">
        <f>E133+E134+E135</f>
        <v>38000</v>
      </c>
      <c r="F132" s="137">
        <f>F133+F134+F135</f>
        <v>2885.7000000000003</v>
      </c>
      <c r="G132" s="137">
        <f>G133+G134+G135</f>
        <v>4476.4</v>
      </c>
      <c r="H132" s="146">
        <f t="shared" si="5"/>
        <v>2.9815832417490924</v>
      </c>
      <c r="I132" s="151">
        <f>+G132/E132</f>
        <v>0.11779999999999999</v>
      </c>
      <c r="K132" s="46"/>
    </row>
    <row r="133" spans="1:11" ht="15.75">
      <c r="A133" s="117"/>
      <c r="B133" s="116" t="s">
        <v>124</v>
      </c>
      <c r="C133" s="72" t="s">
        <v>70</v>
      </c>
      <c r="D133" s="86">
        <v>245.92</v>
      </c>
      <c r="E133" s="86">
        <v>13600</v>
      </c>
      <c r="F133" s="137">
        <f>G133-16.5</f>
        <v>418.5</v>
      </c>
      <c r="G133" s="86">
        <v>435</v>
      </c>
      <c r="H133" s="146">
        <f t="shared" si="5"/>
        <v>1.7688679245283019</v>
      </c>
      <c r="I133" s="151">
        <f>+G133/E133</f>
        <v>0.031985294117647056</v>
      </c>
      <c r="K133" s="51"/>
    </row>
    <row r="134" spans="1:11" ht="15.75">
      <c r="A134" s="117"/>
      <c r="B134" s="116" t="s">
        <v>125</v>
      </c>
      <c r="C134" s="72" t="s">
        <v>70</v>
      </c>
      <c r="D134" s="86">
        <v>364.93</v>
      </c>
      <c r="E134" s="86">
        <v>14400</v>
      </c>
      <c r="F134" s="137">
        <f>G134-1020.7</f>
        <v>2089.8</v>
      </c>
      <c r="G134" s="86">
        <v>3110.5</v>
      </c>
      <c r="H134" s="146">
        <f t="shared" si="5"/>
        <v>8.523552462116022</v>
      </c>
      <c r="I134" s="151">
        <f>+G134/E134</f>
        <v>0.21600694444444443</v>
      </c>
      <c r="K134" s="51"/>
    </row>
    <row r="135" spans="1:11" ht="15.75">
      <c r="A135" s="117"/>
      <c r="B135" s="116" t="s">
        <v>126</v>
      </c>
      <c r="C135" s="72" t="s">
        <v>70</v>
      </c>
      <c r="D135" s="86">
        <v>890.5</v>
      </c>
      <c r="E135" s="86">
        <v>10000</v>
      </c>
      <c r="F135" s="86">
        <f>G135-553.5</f>
        <v>377.4</v>
      </c>
      <c r="G135" s="86">
        <v>930.9</v>
      </c>
      <c r="H135" s="146">
        <f t="shared" si="5"/>
        <v>1.045367770915216</v>
      </c>
      <c r="I135" s="151">
        <f>+G135/E135</f>
        <v>0.09308999999999999</v>
      </c>
      <c r="K135" s="51"/>
    </row>
    <row r="136" spans="1:11" ht="26.25">
      <c r="A136" s="117"/>
      <c r="B136" s="153" t="s">
        <v>127</v>
      </c>
      <c r="C136" s="72" t="s">
        <v>70</v>
      </c>
      <c r="D136" s="154">
        <v>27</v>
      </c>
      <c r="E136" s="24">
        <v>4700</v>
      </c>
      <c r="F136" s="155">
        <f>G136-128.2</f>
        <v>20</v>
      </c>
      <c r="G136" s="154">
        <v>148.2</v>
      </c>
      <c r="H136" s="146">
        <f t="shared" si="5"/>
        <v>5.488888888888888</v>
      </c>
      <c r="I136" s="32">
        <f>+G136/E136</f>
        <v>0.03153191489361702</v>
      </c>
      <c r="K136" s="52"/>
    </row>
    <row r="137" spans="1:11" ht="15.75">
      <c r="A137" s="117" t="s">
        <v>128</v>
      </c>
      <c r="B137" s="156" t="s">
        <v>129</v>
      </c>
      <c r="C137" s="70" t="s">
        <v>32</v>
      </c>
      <c r="D137" s="131">
        <f>D138+D149</f>
        <v>22132.81</v>
      </c>
      <c r="E137" s="130">
        <f>E138+E149</f>
        <v>75800</v>
      </c>
      <c r="F137" s="130">
        <f>F138+F149</f>
        <v>6246.849999999999</v>
      </c>
      <c r="G137" s="131">
        <f>G138+G149</f>
        <v>22999.41</v>
      </c>
      <c r="H137" s="26">
        <f>+G137/D137</f>
        <v>1.0391545402504245</v>
      </c>
      <c r="I137" s="32">
        <f aca="true" t="shared" si="6" ref="I137:I154">+G137/E137</f>
        <v>0.3034222955145119</v>
      </c>
      <c r="K137" s="53"/>
    </row>
    <row r="138" spans="1:11" ht="15.75">
      <c r="A138" s="114" t="s">
        <v>130</v>
      </c>
      <c r="B138" s="156" t="s">
        <v>131</v>
      </c>
      <c r="C138" s="70" t="s">
        <v>32</v>
      </c>
      <c r="D138" s="130">
        <f>D139+D142+D145+D148</f>
        <v>18845.66</v>
      </c>
      <c r="E138" s="130">
        <f>E139+E142+E145+E148</f>
        <v>62000</v>
      </c>
      <c r="F138" s="130">
        <f>F139+F142+F145+F148</f>
        <v>5349.719999999999</v>
      </c>
      <c r="G138" s="130">
        <f>G139+G142+G145+G148</f>
        <v>19479.03</v>
      </c>
      <c r="H138" s="26">
        <f>+G138/D138</f>
        <v>1.0336082684289114</v>
      </c>
      <c r="I138" s="32">
        <f t="shared" si="6"/>
        <v>0.3141779032258064</v>
      </c>
      <c r="K138" s="53"/>
    </row>
    <row r="139" spans="1:11" ht="15.75">
      <c r="A139" s="117"/>
      <c r="B139" s="157" t="s">
        <v>132</v>
      </c>
      <c r="C139" s="70" t="s">
        <v>32</v>
      </c>
      <c r="D139" s="124">
        <v>9389.2</v>
      </c>
      <c r="E139" s="86">
        <v>25000</v>
      </c>
      <c r="F139" s="158">
        <f>G139-7121.59</f>
        <v>2646.6399999999994</v>
      </c>
      <c r="G139" s="124">
        <v>9768.23</v>
      </c>
      <c r="H139" s="26">
        <f>+G139/D139</f>
        <v>1.0403687215098196</v>
      </c>
      <c r="I139" s="32">
        <f t="shared" si="6"/>
        <v>0.3907292</v>
      </c>
      <c r="K139" s="53"/>
    </row>
    <row r="140" spans="1:11" ht="15.75">
      <c r="A140" s="117"/>
      <c r="B140" s="157" t="s">
        <v>133</v>
      </c>
      <c r="C140" s="72" t="s">
        <v>70</v>
      </c>
      <c r="D140" s="105"/>
      <c r="E140" s="137"/>
      <c r="F140" s="105"/>
      <c r="G140" s="105"/>
      <c r="H140" s="26"/>
      <c r="I140" s="32"/>
      <c r="K140" s="53"/>
    </row>
    <row r="141" spans="1:11" ht="15.75">
      <c r="A141" s="117"/>
      <c r="B141" s="157" t="s">
        <v>134</v>
      </c>
      <c r="C141" s="72" t="s">
        <v>70</v>
      </c>
      <c r="D141" s="105"/>
      <c r="E141" s="86"/>
      <c r="F141" s="105"/>
      <c r="G141" s="105"/>
      <c r="H141" s="26"/>
      <c r="I141" s="32"/>
      <c r="K141" s="53"/>
    </row>
    <row r="142" spans="1:11" ht="15.75">
      <c r="A142" s="117"/>
      <c r="B142" s="157" t="s">
        <v>135</v>
      </c>
      <c r="C142" s="70" t="s">
        <v>32</v>
      </c>
      <c r="D142" s="124">
        <f>D143</f>
        <v>3468.98</v>
      </c>
      <c r="E142" s="86">
        <v>5500</v>
      </c>
      <c r="F142" s="124">
        <f>F143</f>
        <v>1218</v>
      </c>
      <c r="G142" s="124">
        <f>G143</f>
        <v>3632</v>
      </c>
      <c r="H142" s="26">
        <f>+G142/D142</f>
        <v>1.0469936407820166</v>
      </c>
      <c r="I142" s="32">
        <f t="shared" si="6"/>
        <v>0.6603636363636364</v>
      </c>
      <c r="K142" s="53"/>
    </row>
    <row r="143" spans="1:11" ht="15.75">
      <c r="A143" s="117"/>
      <c r="B143" s="157" t="s">
        <v>136</v>
      </c>
      <c r="C143" s="72" t="s">
        <v>70</v>
      </c>
      <c r="D143" s="124">
        <v>3468.98</v>
      </c>
      <c r="E143" s="86">
        <f>+E142</f>
        <v>5500</v>
      </c>
      <c r="F143" s="124">
        <f>G143-2414</f>
        <v>1218</v>
      </c>
      <c r="G143" s="124">
        <v>3632</v>
      </c>
      <c r="H143" s="26">
        <f>+G143/D143</f>
        <v>1.0469936407820166</v>
      </c>
      <c r="I143" s="32">
        <f t="shared" si="6"/>
        <v>0.6603636363636364</v>
      </c>
      <c r="K143" s="53"/>
    </row>
    <row r="144" spans="1:11" ht="15.75">
      <c r="A144" s="117"/>
      <c r="B144" s="157" t="s">
        <v>134</v>
      </c>
      <c r="C144" s="72" t="s">
        <v>70</v>
      </c>
      <c r="D144" s="105"/>
      <c r="E144" s="86"/>
      <c r="F144" s="105"/>
      <c r="G144" s="105"/>
      <c r="H144" s="26"/>
      <c r="I144" s="32"/>
      <c r="K144" s="53"/>
    </row>
    <row r="145" spans="1:11" ht="15.75">
      <c r="A145" s="117"/>
      <c r="B145" s="157" t="s">
        <v>137</v>
      </c>
      <c r="C145" s="70" t="s">
        <v>32</v>
      </c>
      <c r="D145" s="105"/>
      <c r="E145" s="86"/>
      <c r="F145" s="105"/>
      <c r="G145" s="105"/>
      <c r="H145" s="26"/>
      <c r="I145" s="32"/>
      <c r="K145" s="54"/>
    </row>
    <row r="146" spans="1:11" ht="15.75">
      <c r="A146" s="117"/>
      <c r="B146" s="157" t="s">
        <v>133</v>
      </c>
      <c r="C146" s="72" t="s">
        <v>70</v>
      </c>
      <c r="D146" s="105"/>
      <c r="E146" s="86"/>
      <c r="F146" s="105"/>
      <c r="G146" s="105"/>
      <c r="H146" s="26"/>
      <c r="I146" s="32"/>
      <c r="K146" s="53"/>
    </row>
    <row r="147" spans="1:12" ht="15.75">
      <c r="A147" s="159"/>
      <c r="B147" s="160" t="s">
        <v>134</v>
      </c>
      <c r="C147" s="161" t="s">
        <v>70</v>
      </c>
      <c r="D147" s="105"/>
      <c r="E147" s="86"/>
      <c r="F147" s="105"/>
      <c r="G147" s="105"/>
      <c r="H147" s="26"/>
      <c r="I147" s="32"/>
      <c r="K147" s="53"/>
      <c r="L147" s="38"/>
    </row>
    <row r="148" spans="1:11" ht="15.75">
      <c r="A148" s="117"/>
      <c r="B148" s="157" t="s">
        <v>138</v>
      </c>
      <c r="C148" s="72" t="s">
        <v>70</v>
      </c>
      <c r="D148" s="124">
        <v>5987.48</v>
      </c>
      <c r="E148" s="86">
        <v>31500</v>
      </c>
      <c r="F148" s="127">
        <f>G148-4593.72</f>
        <v>1485.08</v>
      </c>
      <c r="G148" s="124">
        <v>6078.8</v>
      </c>
      <c r="H148" s="26">
        <f>+G148/D148</f>
        <v>1.0152518254758263</v>
      </c>
      <c r="I148" s="32">
        <f t="shared" si="6"/>
        <v>0.19297777777777778</v>
      </c>
      <c r="K148" s="53"/>
    </row>
    <row r="149" spans="1:11" ht="15.75">
      <c r="A149" s="114" t="s">
        <v>139</v>
      </c>
      <c r="B149" s="156" t="s">
        <v>140</v>
      </c>
      <c r="C149" s="70" t="s">
        <v>32</v>
      </c>
      <c r="D149" s="131">
        <f>D150+D151+D152+D153+D154</f>
        <v>3287.15</v>
      </c>
      <c r="E149" s="130">
        <f>E150+E151+E152+E153+E154</f>
        <v>13800</v>
      </c>
      <c r="F149" s="130">
        <f>F150+F151+F152+F153+F154</f>
        <v>897.13</v>
      </c>
      <c r="G149" s="131">
        <f>G150+G151+G152+G153+G154</f>
        <v>3520.38</v>
      </c>
      <c r="H149" s="26">
        <f>+G149/D149</f>
        <v>1.0709520405214243</v>
      </c>
      <c r="I149" s="32">
        <f t="shared" si="6"/>
        <v>0.2551</v>
      </c>
      <c r="K149" s="53"/>
    </row>
    <row r="150" spans="1:11" ht="15.75">
      <c r="A150" s="117"/>
      <c r="B150" s="118" t="s">
        <v>160</v>
      </c>
      <c r="C150" s="72" t="s">
        <v>70</v>
      </c>
      <c r="D150" s="124">
        <v>1336.4</v>
      </c>
      <c r="E150" s="86">
        <v>6200</v>
      </c>
      <c r="F150" s="124">
        <f>G150-1103</f>
        <v>397</v>
      </c>
      <c r="G150" s="124">
        <v>1500</v>
      </c>
      <c r="H150" s="26">
        <f>+G150/D150</f>
        <v>1.1224184375935349</v>
      </c>
      <c r="I150" s="32">
        <f t="shared" si="6"/>
        <v>0.24193548387096775</v>
      </c>
      <c r="K150" s="53"/>
    </row>
    <row r="151" spans="1:11" ht="15.75">
      <c r="A151" s="117"/>
      <c r="B151" s="116" t="s">
        <v>141</v>
      </c>
      <c r="C151" s="72" t="s">
        <v>70</v>
      </c>
      <c r="D151" s="124">
        <v>1327.65</v>
      </c>
      <c r="E151" s="86">
        <v>4500</v>
      </c>
      <c r="F151" s="127">
        <f>G151-996.35</f>
        <v>374.12</v>
      </c>
      <c r="G151" s="124">
        <v>1370.47</v>
      </c>
      <c r="H151" s="26">
        <f>+G151/D151</f>
        <v>1.032252476179716</v>
      </c>
      <c r="I151" s="32">
        <f t="shared" si="6"/>
        <v>0.30454888888888887</v>
      </c>
      <c r="K151" s="53"/>
    </row>
    <row r="152" spans="1:11" ht="30" customHeight="1">
      <c r="A152" s="117"/>
      <c r="B152" s="119" t="s">
        <v>142</v>
      </c>
      <c r="C152" s="72" t="s">
        <v>70</v>
      </c>
      <c r="D152" s="124"/>
      <c r="E152" s="86"/>
      <c r="F152" s="124"/>
      <c r="G152" s="124"/>
      <c r="H152" s="26"/>
      <c r="I152" s="32"/>
      <c r="K152" s="53"/>
    </row>
    <row r="153" spans="1:9" ht="26.25">
      <c r="A153" s="117"/>
      <c r="B153" s="138" t="s">
        <v>143</v>
      </c>
      <c r="C153" s="72" t="s">
        <v>70</v>
      </c>
      <c r="D153" s="124"/>
      <c r="E153" s="86"/>
      <c r="F153" s="124"/>
      <c r="G153" s="124"/>
      <c r="H153" s="26"/>
      <c r="I153" s="32"/>
    </row>
    <row r="154" spans="1:9" ht="15.75">
      <c r="A154" s="162"/>
      <c r="B154" s="163" t="s">
        <v>144</v>
      </c>
      <c r="C154" s="164" t="s">
        <v>70</v>
      </c>
      <c r="D154" s="165">
        <v>623.1</v>
      </c>
      <c r="E154" s="166">
        <v>3100</v>
      </c>
      <c r="F154" s="167">
        <f>G154-523.9</f>
        <v>126.00999999999999</v>
      </c>
      <c r="G154" s="165">
        <v>649.91</v>
      </c>
      <c r="H154" s="168">
        <f>+G154/D154</f>
        <v>1.0430268014764885</v>
      </c>
      <c r="I154" s="169">
        <f t="shared" si="6"/>
        <v>0.2096483870967742</v>
      </c>
    </row>
    <row r="155" spans="1:9" ht="15.75">
      <c r="A155" s="7"/>
      <c r="B155" s="13"/>
      <c r="C155" s="14"/>
      <c r="D155" s="15"/>
      <c r="E155" s="15"/>
      <c r="F155" s="16"/>
      <c r="G155" s="15"/>
      <c r="H155" s="15"/>
      <c r="I155" s="15"/>
    </row>
    <row r="156" spans="1:9" ht="18.75">
      <c r="A156" s="7"/>
      <c r="B156" s="3"/>
      <c r="C156" s="17"/>
      <c r="D156" s="18"/>
      <c r="E156" s="5"/>
      <c r="F156" s="19"/>
      <c r="G156" s="171"/>
      <c r="H156" s="171"/>
      <c r="I156" s="171"/>
    </row>
    <row r="157" spans="1:9" ht="18.75">
      <c r="A157" s="7"/>
      <c r="B157" s="3"/>
      <c r="C157" s="17"/>
      <c r="D157" s="18"/>
      <c r="E157" s="20"/>
      <c r="F157" s="21"/>
      <c r="G157" s="172"/>
      <c r="H157" s="172"/>
      <c r="I157" s="172"/>
    </row>
    <row r="158" ht="15.75">
      <c r="F158" s="22"/>
    </row>
    <row r="159" ht="15.75">
      <c r="F159" s="22"/>
    </row>
    <row r="160" ht="15.75">
      <c r="F160" s="22"/>
    </row>
    <row r="161" ht="15.75">
      <c r="F161" s="22"/>
    </row>
  </sheetData>
  <mergeCells count="12">
    <mergeCell ref="A3:I3"/>
    <mergeCell ref="A4:I4"/>
    <mergeCell ref="B6:B7"/>
    <mergeCell ref="D6:D7"/>
    <mergeCell ref="C6:C7"/>
    <mergeCell ref="A6:A7"/>
    <mergeCell ref="E6:E7"/>
    <mergeCell ref="H6:I6"/>
    <mergeCell ref="G156:I156"/>
    <mergeCell ref="G157:I157"/>
    <mergeCell ref="G6:G7"/>
    <mergeCell ref="F6:F7"/>
  </mergeCells>
  <printOptions/>
  <pageMargins left="0.29" right="0.24" top="0.54" bottom="0.3" header="0.4" footer="0.5"/>
  <pageSetup horizontalDpi="600" verticalDpi="600" orientation="portrait" paperSize="9" r:id="rId1"/>
  <ignoredErrors>
    <ignoredError sqref="F95 F13 F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f>(167+90)/2</f>
        <v>128.5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Duong Thanh Tung</cp:lastModifiedBy>
  <cp:lastPrinted>2014-04-17T03:04:03Z</cp:lastPrinted>
  <dcterms:created xsi:type="dcterms:W3CDTF">2013-03-11T00:44:18Z</dcterms:created>
  <dcterms:modified xsi:type="dcterms:W3CDTF">2014-05-12T03:41:48Z</dcterms:modified>
  <cp:category/>
  <cp:version/>
  <cp:contentType/>
  <cp:contentStatus/>
</cp:coreProperties>
</file>