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35" windowHeight="8190" activeTab="0"/>
  </bookViews>
  <sheets>
    <sheet name="Sheet1" sheetId="1" r:id="rId1"/>
  </sheets>
  <definedNames>
    <definedName name="_xlnm.Print_Area" localSheetId="0">'Sheet1'!$A$1:$I$188</definedName>
    <definedName name="_xlnm.Print_Titles" localSheetId="0">'Sheet1'!$7:$8</definedName>
  </definedNames>
  <calcPr fullCalcOnLoad="1"/>
</workbook>
</file>

<file path=xl/sharedStrings.xml><?xml version="1.0" encoding="utf-8"?>
<sst xmlns="http://schemas.openxmlformats.org/spreadsheetml/2006/main" count="377" uniqueCount="189">
  <si>
    <t>Sở Nông nghiệp và PTNT tỉnh Trà Vinh</t>
  </si>
  <si>
    <t>Mã số</t>
  </si>
  <si>
    <t>Chỉ tiêu</t>
  </si>
  <si>
    <t>ĐVT</t>
  </si>
  <si>
    <t>TH cùng kỳ năm trước</t>
  </si>
  <si>
    <t>TH 
tháng 9</t>
  </si>
  <si>
    <t>% so sánh với</t>
  </si>
  <si>
    <t>Cùng kỳ</t>
  </si>
  <si>
    <t>Kế hoạch</t>
  </si>
  <si>
    <t>A</t>
  </si>
  <si>
    <t>B</t>
  </si>
  <si>
    <t>C</t>
  </si>
  <si>
    <t>4=3/1</t>
  </si>
  <si>
    <t>Tỷ đồng</t>
  </si>
  <si>
    <t>"</t>
  </si>
  <si>
    <t xml:space="preserve"> - Trồng trọt</t>
  </si>
  <si>
    <t xml:space="preserve"> - Chăn nuôi</t>
  </si>
  <si>
    <t xml:space="preserve"> - Dịch vụ</t>
  </si>
  <si>
    <t xml:space="preserve"> - Khai thác hải sản</t>
  </si>
  <si>
    <t xml:space="preserve"> - Khai thác nội đồng</t>
  </si>
  <si>
    <t xml:space="preserve"> - Nuôi trồng thủy sản</t>
  </si>
  <si>
    <t xml:space="preserve"> - Dịch vụ thủy sản</t>
  </si>
  <si>
    <t>I.</t>
  </si>
  <si>
    <t>TRỒNG TRỌT</t>
  </si>
  <si>
    <t>Tổng DT gieo trồng</t>
  </si>
  <si>
    <t>Ha</t>
  </si>
  <si>
    <t>1.1.</t>
  </si>
  <si>
    <t>Cây lương thực có hạt</t>
  </si>
  <si>
    <t>Cây lúa</t>
  </si>
  <si>
    <t xml:space="preserve"> - DT gieo sạ</t>
  </si>
  <si>
    <t xml:space="preserve"> - Sản lượng</t>
  </si>
  <si>
    <t>tấn</t>
  </si>
  <si>
    <t>ha</t>
  </si>
  <si>
    <t xml:space="preserve"> - Năng suất bình quân</t>
  </si>
  <si>
    <t>Tạ/ha</t>
  </si>
  <si>
    <t xml:space="preserve"> - Sản lượng </t>
  </si>
  <si>
    <t>Tấn</t>
  </si>
  <si>
    <t xml:space="preserve"> - Diện tích thu hoạch</t>
  </si>
  <si>
    <t>Cây màu</t>
  </si>
  <si>
    <t>Cây bắp</t>
  </si>
  <si>
    <t xml:space="preserve"> - Diện tích gieo trồng</t>
  </si>
  <si>
    <t>''</t>
  </si>
  <si>
    <t xml:space="preserve"> - Năng suất </t>
  </si>
  <si>
    <t>1.2.</t>
  </si>
  <si>
    <t>Cây có củ</t>
  </si>
  <si>
    <t xml:space="preserve">Khoai lang </t>
  </si>
  <si>
    <t xml:space="preserve"> + Diện tích gieo trồng</t>
  </si>
  <si>
    <t xml:space="preserve"> + Diện tích thu hoạch</t>
  </si>
  <si>
    <t xml:space="preserve"> + Năng suất </t>
  </si>
  <si>
    <t xml:space="preserve"> + Sản lượng </t>
  </si>
  <si>
    <t>Sắn</t>
  </si>
  <si>
    <t xml:space="preserve">Cây có củ khác </t>
  </si>
  <si>
    <t>1.3.</t>
  </si>
  <si>
    <t>Cây thực phẩm</t>
  </si>
  <si>
    <t>Rau các loại</t>
  </si>
  <si>
    <t xml:space="preserve"> + DT gieo trồng </t>
  </si>
  <si>
    <t>Đậu các loại</t>
  </si>
  <si>
    <t>1.4</t>
  </si>
  <si>
    <t>Cây công nghiệp hàng năm</t>
  </si>
  <si>
    <t xml:space="preserve"> </t>
  </si>
  <si>
    <t>Đậu phộng</t>
  </si>
  <si>
    <t>Mía</t>
  </si>
  <si>
    <t xml:space="preserve"> + Diện tích trồng</t>
  </si>
  <si>
    <t>Trong đó: DT trồng mới</t>
  </si>
  <si>
    <t xml:space="preserve"> + Năng suất</t>
  </si>
  <si>
    <t>Cây lác (cói)</t>
  </si>
  <si>
    <t>Cây trồng khác</t>
  </si>
  <si>
    <t xml:space="preserve"> +Cây hàng năm khác</t>
  </si>
  <si>
    <t xml:space="preserve"> +Dây thuốc cá</t>
  </si>
  <si>
    <t>Cây lâu năm</t>
  </si>
  <si>
    <t>II</t>
  </si>
  <si>
    <t>CHĂN NUÔI</t>
  </si>
  <si>
    <t>con</t>
  </si>
  <si>
    <t>Triệu con</t>
  </si>
  <si>
    <t>LÂM NGHIỆP</t>
  </si>
  <si>
    <t>1.</t>
  </si>
  <si>
    <t>Lâm sinh</t>
  </si>
  <si>
    <t>DT rừng trồng tập trung</t>
  </si>
  <si>
    <t xml:space="preserve">  Trong đó:</t>
  </si>
  <si>
    <t xml:space="preserve"> - Rừng phòng hộ </t>
  </si>
  <si>
    <t xml:space="preserve"> ''</t>
  </si>
  <si>
    <t xml:space="preserve"> - Rừng đặc dụng</t>
  </si>
  <si>
    <t xml:space="preserve"> - Rừng sản xuất</t>
  </si>
  <si>
    <t xml:space="preserve"> DT trồng lại sau khai thác</t>
  </si>
  <si>
    <t>DT rừng trồng được chăm sóc</t>
  </si>
  <si>
    <t>DT khoanh nuôi tái sinh</t>
  </si>
  <si>
    <t>1.4.</t>
  </si>
  <si>
    <t>DT giao khoán bảo vệ</t>
  </si>
  <si>
    <t>1.5.</t>
  </si>
  <si>
    <t>Số cây lâm nghiệp phân tán</t>
  </si>
  <si>
    <t>1000 cây</t>
  </si>
  <si>
    <t>2.</t>
  </si>
  <si>
    <t>Khai thác</t>
  </si>
  <si>
    <t xml:space="preserve"> - Sản lượng gỗ khai thác</t>
  </si>
  <si>
    <t>DIÊM NGHIỆP</t>
  </si>
  <si>
    <t>D</t>
  </si>
  <si>
    <t>THỦY SẢN</t>
  </si>
  <si>
    <t>Tổng diện tích nuôi</t>
  </si>
  <si>
    <t>Nuôi nước ngọt</t>
  </si>
  <si>
    <t xml:space="preserve"> - Diện tích nuôi cá</t>
  </si>
  <si>
    <t xml:space="preserve">    Trong đó: cá tra, cá ba sa</t>
  </si>
  <si>
    <t xml:space="preserve"> - Diện tích nuôi giáp xác</t>
  </si>
  <si>
    <t xml:space="preserve">    Trong đó: tôm càng xanh</t>
  </si>
  <si>
    <t xml:space="preserve"> - Diện tích nuôi khác</t>
  </si>
  <si>
    <t>Nuôi nước mặn, lợ</t>
  </si>
  <si>
    <t xml:space="preserve">    Trong đó: + cá giò, cá song</t>
  </si>
  <si>
    <t xml:space="preserve">                   + …</t>
  </si>
  <si>
    <t xml:space="preserve"> Trong đó: + Tôm sú</t>
  </si>
  <si>
    <t xml:space="preserve">                + Tôm thẻ chân trắng</t>
  </si>
  <si>
    <t xml:space="preserve">                + Cua biển                   </t>
  </si>
  <si>
    <t xml:space="preserve"> - Diện tích nuôi khác
 (nghêu - sò huyết)</t>
  </si>
  <si>
    <t>Thể tích nuôi lồng, bè</t>
  </si>
  <si>
    <t>- Nuôi cá</t>
  </si>
  <si>
    <t>- Nuôi giáp xác</t>
  </si>
  <si>
    <t>- Nuôi nhuyễn thể</t>
  </si>
  <si>
    <t>3.</t>
  </si>
  <si>
    <t>Sản lượng con giống SX</t>
  </si>
  <si>
    <t>- Cá giống</t>
  </si>
  <si>
    <t>- Tôm giống</t>
  </si>
  <si>
    <t>- Nhuyễn thể giống</t>
  </si>
  <si>
    <t>Tổng sản lượng thủy sản</t>
  </si>
  <si>
    <t>4.1</t>
  </si>
  <si>
    <t>Tổng sản lượng nuôi</t>
  </si>
  <si>
    <t>4.1.1</t>
  </si>
  <si>
    <t xml:space="preserve"> - Sản lượng cá</t>
  </si>
  <si>
    <t xml:space="preserve"> - Sản lượng giáp xác</t>
  </si>
  <si>
    <r>
      <t xml:space="preserve">    Trong đó: tôm càng xanh</t>
    </r>
  </si>
  <si>
    <t xml:space="preserve"> - Sản lượng thủy sản khác</t>
  </si>
  <si>
    <t xml:space="preserve"> - Sản lượng cá nuôi</t>
  </si>
  <si>
    <r>
      <t xml:space="preserve">    Trong đó: Cá giò, cá song</t>
    </r>
  </si>
  <si>
    <t xml:space="preserve">     …</t>
  </si>
  <si>
    <r>
      <t xml:space="preserve">    Trong đó: + Tôm sú</t>
    </r>
  </si>
  <si>
    <t xml:space="preserve">                   + Tôm thẻ chân trắng</t>
  </si>
  <si>
    <t xml:space="preserve">                   + Nuôi cua biển</t>
  </si>
  <si>
    <t xml:space="preserve"> - Sản lượng thủy sản khác
 (nghêu - sò huyết)</t>
  </si>
  <si>
    <t>4.2</t>
  </si>
  <si>
    <t>Tổng sản lượng khai thác</t>
  </si>
  <si>
    <t>Khai thác biển</t>
  </si>
  <si>
    <t xml:space="preserve"> + Sản lượng cá khai thác</t>
  </si>
  <si>
    <t xml:space="preserve"> Trong đó: - Loài ….</t>
  </si>
  <si>
    <t xml:space="preserve"> - …</t>
  </si>
  <si>
    <t xml:space="preserve"> + Sản lượng giáp xác khai thác</t>
  </si>
  <si>
    <t xml:space="preserve"> Trong đó: - Tôm…</t>
  </si>
  <si>
    <t xml:space="preserve"> + SL nhuyễn thể khai thác</t>
  </si>
  <si>
    <t xml:space="preserve"> + SL hải sản khác khai thác</t>
  </si>
  <si>
    <t>4.2.2</t>
  </si>
  <si>
    <t>Khai thác nội địa</t>
  </si>
  <si>
    <t xml:space="preserve">               - Tôm các loại</t>
  </si>
  <si>
    <t xml:space="preserve">               - Nhuyễn thể các loại</t>
  </si>
  <si>
    <t xml:space="preserve">               - Giáp xác các loại 
                  (không kể tôm)</t>
  </si>
  <si>
    <t xml:space="preserve">               - Thủy sản khác</t>
  </si>
  <si>
    <t>BÁO CÁO SẢN XUẤT NÔNG, LÂM, DIÊM NGHIỆP, THUỶ SẢN</t>
  </si>
  <si>
    <t>KH 
vụ/năm
2013</t>
  </si>
  <si>
    <t>Theo gía năm 1994</t>
  </si>
  <si>
    <t>a</t>
  </si>
  <si>
    <t>Gía trị SX nông nghiệp</t>
  </si>
  <si>
    <t>b</t>
  </si>
  <si>
    <t>Giá trị lâm nghiệp</t>
  </si>
  <si>
    <t>c</t>
  </si>
  <si>
    <t>Giá trị sản xuất thuỷ sản</t>
  </si>
  <si>
    <t>SẢN XUẤT NÔNG NGHIỆP</t>
  </si>
  <si>
    <t>Cây hàng năm</t>
  </si>
  <si>
    <t xml:space="preserve"> - Diện tích </t>
  </si>
  <si>
    <t xml:space="preserve"> - Diện tích thu hoạch</t>
  </si>
  <si>
    <t>Diện tích gieo trồng</t>
  </si>
  <si>
    <t>Diện tích thu hoạch</t>
  </si>
  <si>
    <t xml:space="preserve"> - Cây ăn quả</t>
  </si>
  <si>
    <t xml:space="preserve"> - Cây dừa</t>
  </si>
  <si>
    <t xml:space="preserve"> - Tổng đàn trâu </t>
  </si>
  <si>
    <t xml:space="preserve"> - Tổng đàn bò </t>
  </si>
  <si>
    <t xml:space="preserve"> - Tổng đàn lợn </t>
  </si>
  <si>
    <t xml:space="preserve"> - Tổng đàn gia cầm </t>
  </si>
  <si>
    <t>4.1.2.</t>
  </si>
  <si>
    <t xml:space="preserve"> - Sản lượng giáp xác nuôi</t>
  </si>
  <si>
    <t>4.2.1.</t>
  </si>
  <si>
    <t>Ước TH 9 tháng</t>
  </si>
  <si>
    <t>ngàn con</t>
  </si>
  <si>
    <t xml:space="preserve">    + Diện tích</t>
  </si>
  <si>
    <t xml:space="preserve">    + Sản lượng</t>
  </si>
  <si>
    <t xml:space="preserve">  Vụ Thu Đông-mùa 2012-2013</t>
  </si>
  <si>
    <t xml:space="preserve">   Vụ Đông - Xuân </t>
  </si>
  <si>
    <t xml:space="preserve">  Vụ Hè Thu</t>
  </si>
  <si>
    <t xml:space="preserve">  Vụ Thu Đông-mùa 2013-2014</t>
  </si>
  <si>
    <t xml:space="preserve"> - Diện tích gieo sạ</t>
  </si>
  <si>
    <r>
      <t>m</t>
    </r>
    <r>
      <rPr>
        <vertAlign val="superscript"/>
        <sz val="10"/>
        <rFont val="Times New Roman"/>
        <family val="1"/>
      </rPr>
      <t>3</t>
    </r>
  </si>
  <si>
    <r>
      <t xml:space="preserve"> </t>
    </r>
    <r>
      <rPr>
        <i/>
        <sz val="10"/>
        <rFont val="Times New Roman"/>
        <family val="1"/>
      </rPr>
      <t xml:space="preserve">  Trong đó</t>
    </r>
    <r>
      <rPr>
        <sz val="10"/>
        <rFont val="Times New Roman"/>
        <family val="1"/>
      </rPr>
      <t xml:space="preserve">: Gỗ rừng trồng </t>
    </r>
  </si>
  <si>
    <r>
      <t xml:space="preserve"> </t>
    </r>
    <r>
      <rPr>
        <i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>Trong đó:  cá tra, cá ba sa</t>
    </r>
  </si>
  <si>
    <r>
      <t>Trong đó:</t>
    </r>
    <r>
      <rPr>
        <sz val="10"/>
        <rFont val="Times New Roman"/>
        <family val="1"/>
      </rPr>
      <t>- Cá các loại</t>
    </r>
  </si>
  <si>
    <t>9 THÁNG NĂM 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</si>
</sst>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#,##0.0"/>
    <numFmt numFmtId="171" formatCode="0.000"/>
    <numFmt numFmtId="172" formatCode="#,##0.000"/>
    <numFmt numFmtId="173" formatCode="0.0%"/>
  </numFmts>
  <fonts count="13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sz val="14"/>
      <name val="VNI-Times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4" fillId="0" borderId="1" xfId="0" applyNumberFormat="1" applyFont="1" applyBorder="1" applyAlignment="1">
      <alignment/>
    </xf>
    <xf numFmtId="165" fontId="4" fillId="0" borderId="1" xfId="15" applyNumberFormat="1" applyFont="1" applyBorder="1" applyAlignment="1">
      <alignment/>
    </xf>
    <xf numFmtId="165" fontId="4" fillId="0" borderId="1" xfId="15" applyNumberFormat="1" applyFont="1" applyBorder="1" applyAlignment="1">
      <alignment vertical="center"/>
    </xf>
    <xf numFmtId="165" fontId="7" fillId="0" borderId="1" xfId="0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165" fontId="9" fillId="0" borderId="5" xfId="15" applyNumberFormat="1" applyFont="1" applyBorder="1" applyAlignment="1">
      <alignment horizontal="center" vertical="center" wrapText="1"/>
    </xf>
    <xf numFmtId="43" fontId="9" fillId="0" borderId="5" xfId="15" applyNumberFormat="1" applyFont="1" applyBorder="1" applyAlignment="1">
      <alignment horizontal="center" vertical="center" wrapText="1"/>
    </xf>
    <xf numFmtId="10" fontId="9" fillId="0" borderId="5" xfId="2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5" fontId="9" fillId="0" borderId="1" xfId="15" applyNumberFormat="1" applyFont="1" applyBorder="1" applyAlignment="1">
      <alignment horizontal="center" vertical="center" wrapText="1"/>
    </xf>
    <xf numFmtId="43" fontId="9" fillId="0" borderId="1" xfId="15" applyNumberFormat="1" applyFont="1" applyBorder="1" applyAlignment="1">
      <alignment horizontal="center" vertical="center" wrapText="1"/>
    </xf>
    <xf numFmtId="10" fontId="9" fillId="0" borderId="1" xfId="2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165" fontId="0" fillId="0" borderId="1" xfId="15" applyNumberFormat="1" applyFont="1" applyFill="1" applyBorder="1" applyAlignment="1">
      <alignment horizontal="right" vertical="center"/>
    </xf>
    <xf numFmtId="43" fontId="0" fillId="0" borderId="1" xfId="0" applyNumberFormat="1" applyFont="1" applyBorder="1" applyAlignment="1">
      <alignment horizontal="right" vertical="top" wrapText="1"/>
    </xf>
    <xf numFmtId="10" fontId="0" fillId="0" borderId="1" xfId="2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165" fontId="9" fillId="0" borderId="1" xfId="15" applyNumberFormat="1" applyFont="1" applyFill="1" applyBorder="1" applyAlignment="1">
      <alignment horizontal="right" vertical="center"/>
    </xf>
    <xf numFmtId="43" fontId="9" fillId="0" borderId="1" xfId="0" applyNumberFormat="1" applyFont="1" applyBorder="1" applyAlignment="1">
      <alignment horizontal="right" vertical="top" wrapText="1"/>
    </xf>
    <xf numFmtId="165" fontId="9" fillId="0" borderId="1" xfId="15" applyNumberFormat="1" applyFont="1" applyBorder="1" applyAlignment="1">
      <alignment horizontal="right" vertical="center"/>
    </xf>
    <xf numFmtId="43" fontId="9" fillId="0" borderId="1" xfId="15" applyNumberFormat="1" applyFont="1" applyBorder="1" applyAlignment="1">
      <alignment horizontal="right" vertical="center"/>
    </xf>
    <xf numFmtId="165" fontId="0" fillId="0" borderId="1" xfId="15" applyNumberFormat="1" applyFont="1" applyFill="1" applyBorder="1" applyAlignment="1">
      <alignment horizontal="right" vertical="center" wrapText="1"/>
    </xf>
    <xf numFmtId="43" fontId="0" fillId="0" borderId="1" xfId="15" applyNumberFormat="1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3" fontId="9" fillId="0" borderId="1" xfId="15" applyFont="1" applyBorder="1" applyAlignment="1">
      <alignment horizontal="center" vertical="center"/>
    </xf>
    <xf numFmtId="43" fontId="9" fillId="0" borderId="1" xfId="15" applyFont="1" applyBorder="1" applyAlignment="1">
      <alignment/>
    </xf>
    <xf numFmtId="43" fontId="9" fillId="0" borderId="1" xfId="15" applyFont="1" applyBorder="1" applyAlignment="1">
      <alignment horizontal="center" vertical="center" wrapText="1"/>
    </xf>
    <xf numFmtId="43" fontId="9" fillId="0" borderId="1" xfId="15" applyFont="1" applyBorder="1" applyAlignment="1">
      <alignment horizontal="center"/>
    </xf>
    <xf numFmtId="165" fontId="9" fillId="0" borderId="1" xfId="15" applyNumberFormat="1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 quotePrefix="1">
      <alignment horizontal="center" vertical="center" wrapText="1"/>
    </xf>
    <xf numFmtId="165" fontId="0" fillId="0" borderId="1" xfId="0" applyNumberFormat="1" applyFont="1" applyBorder="1" applyAlignment="1">
      <alignment vertical="center"/>
    </xf>
    <xf numFmtId="10" fontId="0" fillId="0" borderId="1" xfId="2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/>
    </xf>
    <xf numFmtId="165" fontId="0" fillId="0" borderId="1" xfId="20" applyNumberFormat="1" applyFont="1" applyBorder="1" applyAlignment="1">
      <alignment horizontal="right"/>
    </xf>
    <xf numFmtId="165" fontId="0" fillId="0" borderId="1" xfId="15" applyNumberFormat="1" applyFont="1" applyBorder="1" applyAlignment="1">
      <alignment horizontal="right"/>
    </xf>
    <xf numFmtId="43" fontId="0" fillId="0" borderId="1" xfId="15" applyNumberFormat="1" applyFont="1" applyBorder="1" applyAlignment="1">
      <alignment horizontal="right" vertical="center"/>
    </xf>
    <xf numFmtId="165" fontId="0" fillId="0" borderId="1" xfId="15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65" fontId="0" fillId="0" borderId="1" xfId="20" applyNumberFormat="1" applyFont="1" applyFill="1" applyBorder="1" applyAlignment="1">
      <alignment/>
    </xf>
    <xf numFmtId="164" fontId="9" fillId="0" borderId="1" xfId="0" applyNumberFormat="1" applyFont="1" applyBorder="1" applyAlignment="1" quotePrefix="1">
      <alignment horizontal="center" vertical="center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 quotePrefix="1">
      <alignment vertical="center"/>
    </xf>
    <xf numFmtId="0" fontId="0" fillId="0" borderId="1" xfId="0" applyFont="1" applyBorder="1" applyAlignment="1" quotePrefix="1">
      <alignment horizontal="center" vertical="center"/>
    </xf>
    <xf numFmtId="165" fontId="0" fillId="0" borderId="1" xfId="15" applyNumberFormat="1" applyFont="1" applyBorder="1" applyAlignment="1">
      <alignment/>
    </xf>
    <xf numFmtId="165" fontId="0" fillId="0" borderId="6" xfId="15" applyNumberFormat="1" applyFont="1" applyBorder="1" applyAlignment="1">
      <alignment/>
    </xf>
    <xf numFmtId="165" fontId="0" fillId="0" borderId="1" xfId="0" applyNumberFormat="1" applyFont="1" applyFill="1" applyBorder="1" applyAlignment="1">
      <alignment vertical="top" wrapText="1"/>
    </xf>
    <xf numFmtId="43" fontId="0" fillId="0" borderId="1" xfId="15" applyFont="1" applyBorder="1" applyAlignment="1">
      <alignment/>
    </xf>
    <xf numFmtId="4" fontId="0" fillId="0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vertical="top" wrapText="1"/>
    </xf>
    <xf numFmtId="165" fontId="0" fillId="0" borderId="1" xfId="0" applyNumberFormat="1" applyFont="1" applyBorder="1" applyAlignment="1">
      <alignment horizontal="center" vertical="center"/>
    </xf>
    <xf numFmtId="165" fontId="9" fillId="0" borderId="1" xfId="15" applyNumberFormat="1" applyFont="1" applyBorder="1" applyAlignment="1">
      <alignment vertical="center"/>
    </xf>
    <xf numFmtId="165" fontId="0" fillId="0" borderId="1" xfId="15" applyNumberFormat="1" applyFont="1" applyBorder="1" applyAlignment="1">
      <alignment vertical="center"/>
    </xf>
    <xf numFmtId="165" fontId="10" fillId="0" borderId="1" xfId="15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65" fontId="0" fillId="0" borderId="1" xfId="15" applyNumberFormat="1" applyFont="1" applyBorder="1" applyAlignment="1">
      <alignment vertical="center" wrapText="1"/>
    </xf>
    <xf numFmtId="165" fontId="0" fillId="0" borderId="6" xfId="15" applyNumberFormat="1" applyFont="1" applyBorder="1" applyAlignment="1">
      <alignment vertical="center" wrapText="1"/>
    </xf>
    <xf numFmtId="165" fontId="0" fillId="0" borderId="6" xfId="15" applyNumberFormat="1" applyFont="1" applyBorder="1" applyAlignment="1">
      <alignment vertical="center"/>
    </xf>
    <xf numFmtId="43" fontId="9" fillId="0" borderId="1" xfId="15" applyNumberFormat="1" applyFont="1" applyBorder="1" applyAlignment="1">
      <alignment/>
    </xf>
    <xf numFmtId="43" fontId="0" fillId="0" borderId="1" xfId="15" applyNumberFormat="1" applyFont="1" applyBorder="1" applyAlignment="1">
      <alignment horizontal="right"/>
    </xf>
    <xf numFmtId="165" fontId="0" fillId="0" borderId="1" xfId="15" applyNumberFormat="1" applyFont="1" applyFill="1" applyBorder="1" applyAlignment="1">
      <alignment/>
    </xf>
    <xf numFmtId="43" fontId="0" fillId="0" borderId="1" xfId="15" applyNumberFormat="1" applyFont="1" applyBorder="1" applyAlignment="1">
      <alignment vertical="center" wrapText="1"/>
    </xf>
    <xf numFmtId="43" fontId="0" fillId="0" borderId="1" xfId="15" applyNumberFormat="1" applyFont="1" applyFill="1" applyBorder="1" applyAlignment="1">
      <alignment/>
    </xf>
    <xf numFmtId="1" fontId="9" fillId="0" borderId="1" xfId="0" applyNumberFormat="1" applyFont="1" applyBorder="1" applyAlignment="1">
      <alignment horizontal="center" vertical="center"/>
    </xf>
    <xf numFmtId="43" fontId="10" fillId="0" borderId="1" xfId="0" applyNumberFormat="1" applyFont="1" applyBorder="1" applyAlignment="1">
      <alignment horizontal="center"/>
    </xf>
    <xf numFmtId="43" fontId="0" fillId="0" borderId="1" xfId="15" applyNumberFormat="1" applyFont="1" applyBorder="1" applyAlignment="1">
      <alignment/>
    </xf>
    <xf numFmtId="43" fontId="9" fillId="0" borderId="1" xfId="15" applyFont="1" applyBorder="1" applyAlignment="1">
      <alignment horizontal="left"/>
    </xf>
    <xf numFmtId="43" fontId="0" fillId="0" borderId="1" xfId="15" applyFont="1" applyBorder="1" applyAlignment="1">
      <alignment horizontal="center"/>
    </xf>
    <xf numFmtId="43" fontId="0" fillId="0" borderId="1" xfId="15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43" fontId="0" fillId="0" borderId="1" xfId="15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right"/>
    </xf>
    <xf numFmtId="43" fontId="0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19" applyFont="1" applyFill="1" applyBorder="1" applyAlignment="1">
      <alignment horizontal="left" vertical="center" wrapText="1"/>
      <protection/>
    </xf>
    <xf numFmtId="165" fontId="0" fillId="0" borderId="1" xfId="15" applyNumberFormat="1" applyFont="1" applyFill="1" applyBorder="1" applyAlignment="1">
      <alignment vertical="center"/>
    </xf>
    <xf numFmtId="164" fontId="9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/>
    </xf>
    <xf numFmtId="166" fontId="0" fillId="0" borderId="1" xfId="15" applyNumberFormat="1" applyFont="1" applyBorder="1" applyAlignment="1">
      <alignment/>
    </xf>
    <xf numFmtId="164" fontId="9" fillId="0" borderId="1" xfId="0" applyNumberFormat="1" applyFont="1" applyBorder="1" applyAlignment="1" quotePrefix="1">
      <alignment horizontal="center"/>
    </xf>
    <xf numFmtId="0" fontId="11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 quotePrefix="1">
      <alignment horizontal="center"/>
    </xf>
    <xf numFmtId="0" fontId="9" fillId="0" borderId="1" xfId="0" applyFont="1" applyFill="1" applyBorder="1" applyAlignment="1">
      <alignment horizontal="left"/>
    </xf>
    <xf numFmtId="165" fontId="9" fillId="0" borderId="1" xfId="15" applyNumberFormat="1" applyFont="1" applyBorder="1" applyAlignment="1">
      <alignment/>
    </xf>
    <xf numFmtId="165" fontId="9" fillId="0" borderId="1" xfId="0" applyNumberFormat="1" applyFont="1" applyBorder="1" applyAlignment="1">
      <alignment/>
    </xf>
    <xf numFmtId="166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wrapText="1"/>
    </xf>
    <xf numFmtId="43" fontId="0" fillId="0" borderId="1" xfId="0" applyNumberFormat="1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/>
    </xf>
    <xf numFmtId="165" fontId="11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64" fontId="9" fillId="0" borderId="7" xfId="0" applyNumberFormat="1" applyFont="1" applyBorder="1" applyAlignment="1" quotePrefix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165" fontId="0" fillId="0" borderId="7" xfId="15" applyNumberFormat="1" applyFont="1" applyBorder="1" applyAlignment="1">
      <alignment/>
    </xf>
    <xf numFmtId="43" fontId="0" fillId="0" borderId="7" xfId="0" applyNumberFormat="1" applyFont="1" applyBorder="1" applyAlignment="1">
      <alignment/>
    </xf>
    <xf numFmtId="10" fontId="0" fillId="0" borderId="7" xfId="20" applyNumberFormat="1" applyFont="1" applyBorder="1" applyAlignment="1">
      <alignment horizontal="right"/>
    </xf>
    <xf numFmtId="10" fontId="0" fillId="0" borderId="0" xfId="20" applyNumberFormat="1" applyAlignment="1">
      <alignment/>
    </xf>
    <xf numFmtId="10" fontId="0" fillId="0" borderId="0" xfId="20" applyNumberFormat="1" applyFont="1" applyAlignment="1">
      <alignment/>
    </xf>
    <xf numFmtId="43" fontId="0" fillId="0" borderId="0" xfId="15" applyFont="1" applyAlignment="1">
      <alignment/>
    </xf>
    <xf numFmtId="43" fontId="0" fillId="0" borderId="1" xfId="15" applyFont="1" applyFill="1" applyBorder="1" applyAlignment="1">
      <alignment horizontal="right" vertical="center" wrapText="1"/>
    </xf>
    <xf numFmtId="43" fontId="9" fillId="0" borderId="1" xfId="15" applyFont="1" applyFill="1" applyBorder="1" applyAlignment="1">
      <alignment horizontal="right" vertical="center" wrapText="1"/>
    </xf>
    <xf numFmtId="166" fontId="0" fillId="0" borderId="1" xfId="15" applyNumberFormat="1" applyFont="1" applyBorder="1" applyAlignment="1">
      <alignment horizontal="right" vertical="center"/>
    </xf>
    <xf numFmtId="43" fontId="0" fillId="0" borderId="1" xfId="15" applyNumberFormat="1" applyFont="1" applyBorder="1" applyAlignment="1">
      <alignment vertical="center"/>
    </xf>
    <xf numFmtId="166" fontId="0" fillId="0" borderId="1" xfId="15" applyNumberFormat="1" applyFont="1" applyBorder="1" applyAlignment="1">
      <alignment vertical="center"/>
    </xf>
    <xf numFmtId="166" fontId="0" fillId="0" borderId="1" xfId="0" applyNumberFormat="1" applyFont="1" applyBorder="1" applyAlignment="1">
      <alignment vertical="center"/>
    </xf>
    <xf numFmtId="166" fontId="9" fillId="0" borderId="1" xfId="15" applyNumberFormat="1" applyFont="1" applyBorder="1" applyAlignment="1">
      <alignment/>
    </xf>
    <xf numFmtId="166" fontId="0" fillId="0" borderId="7" xfId="15" applyNumberFormat="1" applyFont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C chi tieu  KT-XH chu yeu 2002- KH 20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workbookViewId="0" topLeftCell="A1">
      <selection activeCell="F10" sqref="F10"/>
    </sheetView>
  </sheetViews>
  <sheetFormatPr defaultColWidth="9.33203125" defaultRowHeight="12.75"/>
  <cols>
    <col min="1" max="1" width="5" style="0" customWidth="1"/>
    <col min="2" max="2" width="28" style="0" customWidth="1"/>
    <col min="4" max="4" width="10.5" style="0" customWidth="1"/>
    <col min="5" max="5" width="11.83203125" style="0" customWidth="1"/>
    <col min="6" max="6" width="10.16015625" style="0" customWidth="1"/>
    <col min="7" max="7" width="12" style="0" customWidth="1"/>
    <col min="8" max="8" width="10" style="0" customWidth="1"/>
    <col min="9" max="9" width="11" style="0" customWidth="1"/>
    <col min="10" max="10" width="12.33203125" style="0" customWidth="1"/>
    <col min="11" max="11" width="9.16015625" style="0" customWidth="1"/>
    <col min="12" max="12" width="13.66015625" style="0" bestFit="1" customWidth="1"/>
    <col min="13" max="13" width="13.16015625" style="0" customWidth="1"/>
  </cols>
  <sheetData>
    <row r="1" spans="1:11" ht="15.75">
      <c r="A1" s="1" t="s">
        <v>0</v>
      </c>
      <c r="B1" s="2"/>
      <c r="C1" s="3"/>
      <c r="D1" s="4"/>
      <c r="E1" s="5"/>
      <c r="F1" s="5"/>
      <c r="G1" s="4"/>
      <c r="H1" s="4"/>
      <c r="I1" s="4"/>
      <c r="J1" s="4"/>
      <c r="K1" s="4"/>
    </row>
    <row r="2" spans="1:11" ht="15.75">
      <c r="A2" s="6"/>
      <c r="B2" s="2"/>
      <c r="C2" s="7"/>
      <c r="D2" s="4"/>
      <c r="E2" s="5"/>
      <c r="F2" s="5"/>
      <c r="G2" s="4"/>
      <c r="H2" s="4"/>
      <c r="I2" s="4"/>
      <c r="J2" s="4"/>
      <c r="K2" s="4"/>
    </row>
    <row r="3" spans="1:11" ht="16.5">
      <c r="A3" s="148" t="s">
        <v>151</v>
      </c>
      <c r="B3" s="148"/>
      <c r="C3" s="148"/>
      <c r="D3" s="148"/>
      <c r="E3" s="148"/>
      <c r="F3" s="148"/>
      <c r="G3" s="148"/>
      <c r="H3" s="148"/>
      <c r="I3" s="148"/>
      <c r="J3" s="13"/>
      <c r="K3" s="13"/>
    </row>
    <row r="4" spans="1:11" ht="15.75">
      <c r="A4" s="149" t="s">
        <v>188</v>
      </c>
      <c r="B4" s="149"/>
      <c r="C4" s="149"/>
      <c r="D4" s="149"/>
      <c r="E4" s="149"/>
      <c r="F4" s="149"/>
      <c r="G4" s="149"/>
      <c r="H4" s="149"/>
      <c r="I4" s="149"/>
      <c r="J4" s="14"/>
      <c r="K4" s="14"/>
    </row>
    <row r="5" spans="1:11" ht="15.75">
      <c r="A5" s="150"/>
      <c r="B5" s="150"/>
      <c r="C5" s="150"/>
      <c r="D5" s="150"/>
      <c r="E5" s="150"/>
      <c r="F5" s="150"/>
      <c r="G5" s="150"/>
      <c r="H5" s="150"/>
      <c r="I5" s="150"/>
      <c r="J5" s="4"/>
      <c r="K5" s="4"/>
    </row>
    <row r="7" spans="1:9" ht="15" customHeight="1">
      <c r="A7" s="151" t="s">
        <v>1</v>
      </c>
      <c r="B7" s="157" t="s">
        <v>2</v>
      </c>
      <c r="C7" s="155" t="s">
        <v>3</v>
      </c>
      <c r="D7" s="155" t="s">
        <v>4</v>
      </c>
      <c r="E7" s="155" t="s">
        <v>152</v>
      </c>
      <c r="F7" s="155" t="s">
        <v>5</v>
      </c>
      <c r="G7" s="155" t="s">
        <v>175</v>
      </c>
      <c r="H7" s="146" t="s">
        <v>6</v>
      </c>
      <c r="I7" s="147"/>
    </row>
    <row r="8" spans="1:9" ht="29.25" customHeight="1">
      <c r="A8" s="152"/>
      <c r="B8" s="158"/>
      <c r="C8" s="156"/>
      <c r="D8" s="156"/>
      <c r="E8" s="156"/>
      <c r="F8" s="156"/>
      <c r="G8" s="156"/>
      <c r="H8" s="18" t="s">
        <v>7</v>
      </c>
      <c r="I8" s="17" t="s">
        <v>8</v>
      </c>
    </row>
    <row r="9" spans="1:9" ht="12.75">
      <c r="A9" s="19" t="s">
        <v>9</v>
      </c>
      <c r="B9" s="153" t="s">
        <v>10</v>
      </c>
      <c r="C9" s="154"/>
      <c r="D9" s="17" t="s">
        <v>11</v>
      </c>
      <c r="E9" s="20">
        <v>1</v>
      </c>
      <c r="F9" s="20"/>
      <c r="G9" s="18"/>
      <c r="H9" s="18">
        <v>3</v>
      </c>
      <c r="I9" s="18" t="s">
        <v>12</v>
      </c>
    </row>
    <row r="10" spans="1:10" ht="12.75">
      <c r="A10" s="21"/>
      <c r="B10" s="22" t="s">
        <v>153</v>
      </c>
      <c r="C10" s="21" t="s">
        <v>13</v>
      </c>
      <c r="D10" s="24">
        <f>+D11+D15+D16</f>
        <v>6107.644</v>
      </c>
      <c r="E10" s="23">
        <f>+E11+E15+E16</f>
        <v>8170</v>
      </c>
      <c r="F10" s="23"/>
      <c r="G10" s="24">
        <f>+G11+G15+G16</f>
        <v>6403.284999999999</v>
      </c>
      <c r="H10" s="25">
        <f aca="true" t="shared" si="0" ref="H10:H20">G10/D10</f>
        <v>1.0484050805842644</v>
      </c>
      <c r="I10" s="25">
        <f aca="true" t="shared" si="1" ref="I10:I20">+G10/E10</f>
        <v>0.7837558139534883</v>
      </c>
      <c r="J10" s="135"/>
    </row>
    <row r="11" spans="1:10" ht="13.5">
      <c r="A11" s="26" t="s">
        <v>154</v>
      </c>
      <c r="B11" s="27" t="s">
        <v>155</v>
      </c>
      <c r="C11" s="28" t="s">
        <v>14</v>
      </c>
      <c r="D11" s="30">
        <f>SUM(D12:D14)</f>
        <v>4307.312</v>
      </c>
      <c r="E11" s="29">
        <f>SUM(E12:E14)</f>
        <v>5370</v>
      </c>
      <c r="F11" s="29"/>
      <c r="G11" s="30">
        <f>SUM(G12:G14)</f>
        <v>4403.0869999999995</v>
      </c>
      <c r="H11" s="31">
        <f t="shared" si="0"/>
        <v>1.0222354452150204</v>
      </c>
      <c r="I11" s="31">
        <f t="shared" si="1"/>
        <v>0.8199417132216014</v>
      </c>
      <c r="J11" s="135"/>
    </row>
    <row r="12" spans="1:10" ht="12.75">
      <c r="A12" s="32"/>
      <c r="B12" s="33" t="s">
        <v>15</v>
      </c>
      <c r="C12" s="28" t="s">
        <v>14</v>
      </c>
      <c r="D12" s="138">
        <v>3342.662</v>
      </c>
      <c r="E12" s="34">
        <v>3891</v>
      </c>
      <c r="F12" s="34"/>
      <c r="G12" s="35">
        <v>3500.848</v>
      </c>
      <c r="H12" s="36">
        <f t="shared" si="0"/>
        <v>1.0473233608423467</v>
      </c>
      <c r="I12" s="36">
        <f t="shared" si="1"/>
        <v>0.8997296324852223</v>
      </c>
      <c r="J12" s="135"/>
    </row>
    <row r="13" spans="1:10" ht="12.75">
      <c r="A13" s="32"/>
      <c r="B13" s="33" t="s">
        <v>16</v>
      </c>
      <c r="C13" s="28" t="s">
        <v>14</v>
      </c>
      <c r="D13" s="138">
        <v>531.083</v>
      </c>
      <c r="E13" s="34">
        <v>769</v>
      </c>
      <c r="F13" s="34"/>
      <c r="G13" s="35">
        <v>500.118</v>
      </c>
      <c r="H13" s="36">
        <f t="shared" si="0"/>
        <v>0.9416946127064885</v>
      </c>
      <c r="I13" s="36">
        <f t="shared" si="1"/>
        <v>0.6503485045513654</v>
      </c>
      <c r="J13" s="135"/>
    </row>
    <row r="14" spans="1:10" ht="12.75">
      <c r="A14" s="32"/>
      <c r="B14" s="33" t="s">
        <v>17</v>
      </c>
      <c r="C14" s="28" t="s">
        <v>14</v>
      </c>
      <c r="D14" s="138">
        <v>433.567</v>
      </c>
      <c r="E14" s="34">
        <v>710</v>
      </c>
      <c r="F14" s="34"/>
      <c r="G14" s="35">
        <v>402.121</v>
      </c>
      <c r="H14" s="36">
        <f t="shared" si="0"/>
        <v>0.9274714173357289</v>
      </c>
      <c r="I14" s="36">
        <f t="shared" si="1"/>
        <v>0.5663676056338028</v>
      </c>
      <c r="J14" s="135"/>
    </row>
    <row r="15" spans="1:10" ht="13.5">
      <c r="A15" s="26" t="s">
        <v>156</v>
      </c>
      <c r="B15" s="27" t="s">
        <v>157</v>
      </c>
      <c r="C15" s="37" t="s">
        <v>14</v>
      </c>
      <c r="D15" s="139">
        <v>75.901</v>
      </c>
      <c r="E15" s="38">
        <v>95</v>
      </c>
      <c r="F15" s="38"/>
      <c r="G15" s="39">
        <v>77.565</v>
      </c>
      <c r="H15" s="31">
        <f t="shared" si="0"/>
        <v>1.0219232948182502</v>
      </c>
      <c r="I15" s="31">
        <f t="shared" si="1"/>
        <v>0.8164736842105262</v>
      </c>
      <c r="J15" s="135"/>
    </row>
    <row r="16" spans="1:10" ht="13.5">
      <c r="A16" s="26" t="s">
        <v>158</v>
      </c>
      <c r="B16" s="27" t="s">
        <v>159</v>
      </c>
      <c r="C16" s="28" t="s">
        <v>14</v>
      </c>
      <c r="D16" s="41">
        <f>D17+D18+D19+D20</f>
        <v>1724.431</v>
      </c>
      <c r="E16" s="40">
        <f>E17+E18+E19+E20</f>
        <v>2705</v>
      </c>
      <c r="F16" s="40"/>
      <c r="G16" s="41">
        <f>G17+G18+G19+G20</f>
        <v>1922.633</v>
      </c>
      <c r="H16" s="31">
        <f t="shared" si="0"/>
        <v>1.114937622902859</v>
      </c>
      <c r="I16" s="31">
        <f t="shared" si="1"/>
        <v>0.7107700554528651</v>
      </c>
      <c r="J16" s="136"/>
    </row>
    <row r="17" spans="1:10" ht="12.75">
      <c r="A17" s="32"/>
      <c r="B17" s="33" t="s">
        <v>18</v>
      </c>
      <c r="C17" s="28" t="s">
        <v>14</v>
      </c>
      <c r="D17" s="138">
        <v>281.895</v>
      </c>
      <c r="E17" s="42">
        <v>405</v>
      </c>
      <c r="F17" s="42"/>
      <c r="G17" s="43">
        <v>250.596</v>
      </c>
      <c r="H17" s="36">
        <f t="shared" si="0"/>
        <v>0.8889692970786995</v>
      </c>
      <c r="I17" s="36">
        <f t="shared" si="1"/>
        <v>0.6187555555555556</v>
      </c>
      <c r="J17" s="137"/>
    </row>
    <row r="18" spans="1:9" ht="12.75">
      <c r="A18" s="32"/>
      <c r="B18" s="33" t="s">
        <v>19</v>
      </c>
      <c r="C18" s="28" t="s">
        <v>14</v>
      </c>
      <c r="D18" s="138">
        <v>114.463</v>
      </c>
      <c r="E18" s="42">
        <v>140</v>
      </c>
      <c r="F18" s="42"/>
      <c r="G18" s="43">
        <v>105.03</v>
      </c>
      <c r="H18" s="36">
        <f t="shared" si="0"/>
        <v>0.917589089924255</v>
      </c>
      <c r="I18" s="36">
        <f t="shared" si="1"/>
        <v>0.7502142857142857</v>
      </c>
    </row>
    <row r="19" spans="1:9" ht="12.75">
      <c r="A19" s="32"/>
      <c r="B19" s="33" t="s">
        <v>20</v>
      </c>
      <c r="C19" s="28" t="s">
        <v>14</v>
      </c>
      <c r="D19" s="138">
        <v>1172.643</v>
      </c>
      <c r="E19" s="42">
        <v>1980</v>
      </c>
      <c r="F19" s="42"/>
      <c r="G19" s="43">
        <v>1434.346</v>
      </c>
      <c r="H19" s="36">
        <f t="shared" si="0"/>
        <v>1.2231736342603845</v>
      </c>
      <c r="I19" s="36">
        <f t="shared" si="1"/>
        <v>0.7244171717171717</v>
      </c>
    </row>
    <row r="20" spans="1:9" ht="12.75">
      <c r="A20" s="32"/>
      <c r="B20" s="33" t="s">
        <v>21</v>
      </c>
      <c r="C20" s="28" t="s">
        <v>14</v>
      </c>
      <c r="D20" s="138">
        <v>155.43</v>
      </c>
      <c r="E20" s="42">
        <v>180</v>
      </c>
      <c r="F20" s="42"/>
      <c r="G20" s="43">
        <f>116.061+16.6</f>
        <v>132.661</v>
      </c>
      <c r="H20" s="36">
        <f t="shared" si="0"/>
        <v>0.8535096184777713</v>
      </c>
      <c r="I20" s="36">
        <f t="shared" si="1"/>
        <v>0.7370055555555556</v>
      </c>
    </row>
    <row r="21" spans="1:9" ht="12.75">
      <c r="A21" s="44" t="s">
        <v>9</v>
      </c>
      <c r="B21" s="45" t="s">
        <v>160</v>
      </c>
      <c r="C21" s="46"/>
      <c r="D21" s="47"/>
      <c r="E21" s="48"/>
      <c r="F21" s="48"/>
      <c r="G21" s="47"/>
      <c r="H21" s="31"/>
      <c r="I21" s="31"/>
    </row>
    <row r="22" spans="1:9" ht="12.75">
      <c r="A22" s="44" t="s">
        <v>22</v>
      </c>
      <c r="B22" s="45" t="s">
        <v>23</v>
      </c>
      <c r="C22" s="49"/>
      <c r="D22" s="50"/>
      <c r="E22" s="50"/>
      <c r="F22" s="50"/>
      <c r="G22" s="50"/>
      <c r="H22" s="31"/>
      <c r="I22" s="31"/>
    </row>
    <row r="23" spans="1:9" ht="12.75">
      <c r="A23" s="51">
        <v>1</v>
      </c>
      <c r="B23" s="45" t="s">
        <v>161</v>
      </c>
      <c r="C23" s="49"/>
      <c r="D23" s="50"/>
      <c r="E23" s="50"/>
      <c r="F23" s="50"/>
      <c r="G23" s="50"/>
      <c r="H23" s="31"/>
      <c r="I23" s="31"/>
    </row>
    <row r="24" spans="1:10" ht="12.75">
      <c r="A24" s="44"/>
      <c r="B24" s="45" t="s">
        <v>24</v>
      </c>
      <c r="C24" s="28" t="s">
        <v>25</v>
      </c>
      <c r="D24" s="50">
        <f>+D25+D58+D63+D68+D70+D81</f>
        <v>274176.65</v>
      </c>
      <c r="E24" s="50">
        <f>+E25+E58+E63+E68+E70+E81</f>
        <v>283080</v>
      </c>
      <c r="F24" s="50">
        <f>+F25+F58+F63+F68+F70+F81</f>
        <v>4076.5</v>
      </c>
      <c r="G24" s="50">
        <f>+G25+G58+G63+G68+G70+G81</f>
        <v>282449.42</v>
      </c>
      <c r="H24" s="31">
        <f>G24/D24</f>
        <v>1.0301731383762984</v>
      </c>
      <c r="I24" s="31">
        <f>+G24/E24</f>
        <v>0.9977724318213932</v>
      </c>
      <c r="J24" s="15"/>
    </row>
    <row r="25" spans="1:9" ht="14.25" customHeight="1">
      <c r="A25" s="52" t="s">
        <v>26</v>
      </c>
      <c r="B25" s="45" t="s">
        <v>27</v>
      </c>
      <c r="C25" s="28" t="s">
        <v>25</v>
      </c>
      <c r="D25" s="53">
        <f>+D27+D52</f>
        <v>231848</v>
      </c>
      <c r="E25" s="53">
        <f>+E27+E52</f>
        <v>233300</v>
      </c>
      <c r="F25" s="53">
        <f>+F27+F52</f>
        <v>287</v>
      </c>
      <c r="G25" s="53">
        <f>+G27+G52</f>
        <v>239714.41999999998</v>
      </c>
      <c r="H25" s="54">
        <f>G25/D25</f>
        <v>1.0339292122425037</v>
      </c>
      <c r="I25" s="54">
        <f>+G25/E25</f>
        <v>1.027494299185598</v>
      </c>
    </row>
    <row r="26" spans="1:9" ht="12.75">
      <c r="A26" s="55"/>
      <c r="B26" s="45" t="s">
        <v>28</v>
      </c>
      <c r="C26" s="28"/>
      <c r="D26" s="56"/>
      <c r="E26" s="56"/>
      <c r="F26" s="56"/>
      <c r="G26" s="56"/>
      <c r="H26" s="36"/>
      <c r="I26" s="36"/>
    </row>
    <row r="27" spans="1:10" ht="12.75">
      <c r="A27" s="55"/>
      <c r="B27" s="57" t="s">
        <v>183</v>
      </c>
      <c r="C27" s="32" t="s">
        <v>25</v>
      </c>
      <c r="D27" s="56">
        <f>+D32+D36+D40</f>
        <v>227427</v>
      </c>
      <c r="E27" s="56">
        <f>+E32+E36+E40</f>
        <v>227500</v>
      </c>
      <c r="F27" s="56"/>
      <c r="G27" s="56">
        <f>+G32+G36+G40</f>
        <v>235503.41999999998</v>
      </c>
      <c r="H27" s="36">
        <f>G27/D27</f>
        <v>1.0355121423577676</v>
      </c>
      <c r="I27" s="36">
        <f>+G27/E27</f>
        <v>1.035179868131868</v>
      </c>
      <c r="J27" s="15"/>
    </row>
    <row r="28" spans="1:9" ht="12.75">
      <c r="A28" s="55"/>
      <c r="B28" s="57" t="s">
        <v>163</v>
      </c>
      <c r="C28" s="32" t="s">
        <v>25</v>
      </c>
      <c r="D28" s="56">
        <f>+D32+D36+D41</f>
        <v>222469</v>
      </c>
      <c r="E28" s="56">
        <f>+E32+E36+E41</f>
        <v>227500</v>
      </c>
      <c r="F28" s="56">
        <f>+F32+F36+F41</f>
        <v>37931</v>
      </c>
      <c r="G28" s="56">
        <f>+G32+G36+G41</f>
        <v>230821.41999999998</v>
      </c>
      <c r="H28" s="36">
        <f>G28/D28</f>
        <v>1.0375441971690438</v>
      </c>
      <c r="I28" s="36">
        <f>+G28/E28</f>
        <v>1.0145996483516482</v>
      </c>
    </row>
    <row r="29" spans="1:9" ht="12.75">
      <c r="A29" s="55"/>
      <c r="B29" s="57" t="s">
        <v>42</v>
      </c>
      <c r="C29" s="28" t="s">
        <v>34</v>
      </c>
      <c r="D29" s="119">
        <f>+D30/D28*10</f>
        <v>55.26765526882397</v>
      </c>
      <c r="E29" s="119">
        <f>+E30/E28*10</f>
        <v>55.53230769230769</v>
      </c>
      <c r="F29" s="119">
        <f>+F30/F28*10</f>
        <v>53.387246579315075</v>
      </c>
      <c r="G29" s="119">
        <f>+G30/G28*10</f>
        <v>54.56278711048568</v>
      </c>
      <c r="H29" s="36">
        <f>G29/D29</f>
        <v>0.9872462807602423</v>
      </c>
      <c r="I29" s="36">
        <f>+G29/E29</f>
        <v>0.9825413237426777</v>
      </c>
    </row>
    <row r="30" spans="1:10" ht="12.75">
      <c r="A30" s="55"/>
      <c r="B30" s="57" t="s">
        <v>30</v>
      </c>
      <c r="C30" s="32" t="s">
        <v>31</v>
      </c>
      <c r="D30" s="56">
        <f>+D34+D38+D43</f>
        <v>1229534</v>
      </c>
      <c r="E30" s="56">
        <f>+E34+E38+E43</f>
        <v>1263360</v>
      </c>
      <c r="F30" s="56">
        <f>+F34+F38+F43</f>
        <v>202503.165</v>
      </c>
      <c r="G30" s="56">
        <f>+G34+G38+G43</f>
        <v>1259426</v>
      </c>
      <c r="H30" s="36">
        <f>G30/D30</f>
        <v>1.02431164977951</v>
      </c>
      <c r="I30" s="36">
        <f>+G30/E30</f>
        <v>0.9968860815602837</v>
      </c>
      <c r="J30" s="15"/>
    </row>
    <row r="31" spans="1:9" ht="12.75">
      <c r="A31" s="55"/>
      <c r="B31" s="58" t="s">
        <v>179</v>
      </c>
      <c r="C31" s="59"/>
      <c r="D31" s="65"/>
      <c r="E31" s="56"/>
      <c r="F31" s="56"/>
      <c r="G31" s="56"/>
      <c r="H31" s="60"/>
      <c r="I31" s="36"/>
    </row>
    <row r="32" spans="1:9" ht="12.75">
      <c r="A32" s="55"/>
      <c r="B32" s="57" t="s">
        <v>162</v>
      </c>
      <c r="C32" s="32" t="s">
        <v>25</v>
      </c>
      <c r="D32" s="63">
        <v>89007</v>
      </c>
      <c r="E32" s="61">
        <v>90500</v>
      </c>
      <c r="F32" s="61"/>
      <c r="G32" s="88">
        <v>90388.42</v>
      </c>
      <c r="H32" s="36">
        <f>G32/D32</f>
        <v>1.015520352331839</v>
      </c>
      <c r="I32" s="36">
        <f>+G32/E32</f>
        <v>0.9987670718232045</v>
      </c>
    </row>
    <row r="33" spans="1:9" ht="12.75">
      <c r="A33" s="55"/>
      <c r="B33" s="57" t="s">
        <v>42</v>
      </c>
      <c r="C33" s="28" t="s">
        <v>34</v>
      </c>
      <c r="D33" s="62">
        <f>+D34/D32*10</f>
        <v>51.748963564663455</v>
      </c>
      <c r="E33" s="62">
        <f>+E34/E32*10</f>
        <v>52.199999999999996</v>
      </c>
      <c r="F33" s="62"/>
      <c r="G33" s="62">
        <f>+G34/G32*10</f>
        <v>51.74611969099581</v>
      </c>
      <c r="H33" s="36">
        <f>G33/D33</f>
        <v>0.999945044818838</v>
      </c>
      <c r="I33" s="36">
        <f>+G33/E33</f>
        <v>0.9913049749232915</v>
      </c>
    </row>
    <row r="34" spans="1:10" ht="12.75">
      <c r="A34" s="55"/>
      <c r="B34" s="57" t="s">
        <v>30</v>
      </c>
      <c r="C34" s="32" t="s">
        <v>31</v>
      </c>
      <c r="D34" s="63">
        <v>460602</v>
      </c>
      <c r="E34" s="63">
        <v>472410</v>
      </c>
      <c r="F34" s="63"/>
      <c r="G34" s="88">
        <v>467725</v>
      </c>
      <c r="H34" s="36">
        <f>G34/D34</f>
        <v>1.015464544226903</v>
      </c>
      <c r="I34" s="36">
        <f>+G34/E34</f>
        <v>0.9900827670879109</v>
      </c>
      <c r="J34" s="16"/>
    </row>
    <row r="35" spans="1:9" ht="12.75">
      <c r="A35" s="55"/>
      <c r="B35" s="64" t="s">
        <v>180</v>
      </c>
      <c r="C35" s="59"/>
      <c r="D35" s="89"/>
      <c r="E35" s="65"/>
      <c r="F35" s="65"/>
      <c r="G35" s="34"/>
      <c r="H35" s="31"/>
      <c r="I35" s="31"/>
    </row>
    <row r="36" spans="1:9" ht="12.75">
      <c r="A36" s="55"/>
      <c r="B36" s="57" t="s">
        <v>162</v>
      </c>
      <c r="C36" s="32" t="s">
        <v>32</v>
      </c>
      <c r="D36" s="140">
        <v>58220</v>
      </c>
      <c r="E36" s="61">
        <v>56000</v>
      </c>
      <c r="F36" s="61"/>
      <c r="G36" s="63">
        <v>64458</v>
      </c>
      <c r="H36" s="36">
        <f>G36/D36</f>
        <v>1.1071453108897287</v>
      </c>
      <c r="I36" s="36">
        <f>+G36/E36</f>
        <v>1.1510357142857144</v>
      </c>
    </row>
    <row r="37" spans="1:9" ht="12.75">
      <c r="A37" s="55"/>
      <c r="B37" s="57" t="s">
        <v>33</v>
      </c>
      <c r="C37" s="28" t="s">
        <v>34</v>
      </c>
      <c r="D37" s="140">
        <f>+D38/D36*10</f>
        <v>62.28546891102714</v>
      </c>
      <c r="E37" s="62">
        <f>+E38/E36*10</f>
        <v>62.699999999999996</v>
      </c>
      <c r="F37" s="62"/>
      <c r="G37" s="62">
        <f>+G38/G36*10</f>
        <v>60.35449439945391</v>
      </c>
      <c r="H37" s="36">
        <f>G37/D37</f>
        <v>0.9689979935074172</v>
      </c>
      <c r="I37" s="36">
        <f>+G37/E37</f>
        <v>0.9625916172161709</v>
      </c>
    </row>
    <row r="38" spans="1:9" ht="12.75">
      <c r="A38" s="55"/>
      <c r="B38" s="57" t="s">
        <v>30</v>
      </c>
      <c r="C38" s="32" t="s">
        <v>31</v>
      </c>
      <c r="D38" s="140">
        <v>362626</v>
      </c>
      <c r="E38" s="63">
        <v>351120</v>
      </c>
      <c r="F38" s="63"/>
      <c r="G38" s="63">
        <v>389033</v>
      </c>
      <c r="H38" s="36">
        <f>G38/D38</f>
        <v>1.0728215847732927</v>
      </c>
      <c r="I38" s="36">
        <f>+G38/E38</f>
        <v>1.107977329687856</v>
      </c>
    </row>
    <row r="39" spans="1:9" ht="12.75">
      <c r="A39" s="55"/>
      <c r="B39" s="64" t="s">
        <v>181</v>
      </c>
      <c r="C39" s="32"/>
      <c r="D39" s="63"/>
      <c r="E39" s="65"/>
      <c r="F39" s="65"/>
      <c r="G39" s="62"/>
      <c r="H39" s="31"/>
      <c r="I39" s="31"/>
    </row>
    <row r="40" spans="1:9" ht="12.75">
      <c r="A40" s="55"/>
      <c r="B40" s="57" t="s">
        <v>29</v>
      </c>
      <c r="C40" s="32" t="s">
        <v>32</v>
      </c>
      <c r="D40" s="63">
        <v>80200</v>
      </c>
      <c r="E40" s="66">
        <f>+E41</f>
        <v>81000</v>
      </c>
      <c r="F40" s="66"/>
      <c r="G40" s="63">
        <v>80657</v>
      </c>
      <c r="H40" s="36">
        <f>G40/D40</f>
        <v>1.0056982543640898</v>
      </c>
      <c r="I40" s="36">
        <f>+G40/E40</f>
        <v>0.9957654320987654</v>
      </c>
    </row>
    <row r="41" spans="1:9" ht="12.75">
      <c r="A41" s="55"/>
      <c r="B41" s="57" t="s">
        <v>163</v>
      </c>
      <c r="C41" s="32" t="s">
        <v>25</v>
      </c>
      <c r="D41" s="63">
        <v>75242</v>
      </c>
      <c r="E41" s="63">
        <v>81000</v>
      </c>
      <c r="F41" s="63">
        <f>+G41-38044</f>
        <v>37931</v>
      </c>
      <c r="G41" s="63">
        <v>75975</v>
      </c>
      <c r="H41" s="36">
        <f>G41/D41</f>
        <v>1.00974189947104</v>
      </c>
      <c r="I41" s="36">
        <f>+G41/E41</f>
        <v>0.937962962962963</v>
      </c>
    </row>
    <row r="42" spans="1:9" ht="12.75">
      <c r="A42" s="55"/>
      <c r="B42" s="57" t="s">
        <v>42</v>
      </c>
      <c r="C42" s="28" t="s">
        <v>34</v>
      </c>
      <c r="D42" s="62">
        <f>+D43/D41*10</f>
        <v>53.99989367640414</v>
      </c>
      <c r="E42" s="62">
        <f>+E43/E41*10</f>
        <v>54.3</v>
      </c>
      <c r="F42" s="62">
        <f>+(F43/F41)*10</f>
        <v>53.387246579315075</v>
      </c>
      <c r="G42" s="62">
        <f>+(G43/G41)*10</f>
        <v>53.00006581112208</v>
      </c>
      <c r="H42" s="36">
        <f>G42/D42</f>
        <v>0.9814846327055093</v>
      </c>
      <c r="I42" s="36">
        <f>+G42/E42</f>
        <v>0.9760601438512354</v>
      </c>
    </row>
    <row r="43" spans="1:10" ht="12.75">
      <c r="A43" s="55"/>
      <c r="B43" s="57" t="s">
        <v>30</v>
      </c>
      <c r="C43" s="32" t="s">
        <v>31</v>
      </c>
      <c r="D43" s="63">
        <v>406306</v>
      </c>
      <c r="E43" s="63">
        <v>439830</v>
      </c>
      <c r="F43" s="63">
        <f>+G43-200164.835</f>
        <v>202503.165</v>
      </c>
      <c r="G43" s="63">
        <v>402668</v>
      </c>
      <c r="H43" s="36">
        <f>G43/D43</f>
        <v>0.9910461573296974</v>
      </c>
      <c r="I43" s="36">
        <f>+G43/E43</f>
        <v>0.9155082645567606</v>
      </c>
      <c r="J43" s="15"/>
    </row>
    <row r="44" spans="1:9" ht="12.75">
      <c r="A44" s="55"/>
      <c r="B44" s="58" t="s">
        <v>182</v>
      </c>
      <c r="C44" s="59"/>
      <c r="D44" s="63"/>
      <c r="E44" s="63"/>
      <c r="F44" s="63"/>
      <c r="G44" s="63"/>
      <c r="H44" s="36"/>
      <c r="I44" s="36"/>
    </row>
    <row r="45" spans="1:10" ht="12.75">
      <c r="A45" s="55"/>
      <c r="B45" s="57" t="s">
        <v>162</v>
      </c>
      <c r="C45" s="32" t="s">
        <v>25</v>
      </c>
      <c r="D45" s="63">
        <v>67275</v>
      </c>
      <c r="E45" s="63">
        <v>89500</v>
      </c>
      <c r="F45" s="63">
        <f>+G45-20628</f>
        <v>48513</v>
      </c>
      <c r="G45" s="63">
        <v>69141</v>
      </c>
      <c r="H45" s="36">
        <f>G45/D45</f>
        <v>1.027736900780379</v>
      </c>
      <c r="I45" s="36">
        <f>+G45/E45</f>
        <v>0.7725251396648045</v>
      </c>
      <c r="J45" s="15"/>
    </row>
    <row r="46" spans="1:9" ht="12.75">
      <c r="A46" s="55"/>
      <c r="B46" s="57" t="s">
        <v>42</v>
      </c>
      <c r="C46" s="28" t="s">
        <v>34</v>
      </c>
      <c r="D46" s="63"/>
      <c r="E46" s="62">
        <f>+E47/E45*10</f>
        <v>54.06737430167598</v>
      </c>
      <c r="F46" s="63"/>
      <c r="G46" s="63"/>
      <c r="H46" s="36"/>
      <c r="I46" s="36"/>
    </row>
    <row r="47" spans="1:9" ht="12.75">
      <c r="A47" s="55"/>
      <c r="B47" s="57" t="s">
        <v>30</v>
      </c>
      <c r="C47" s="32" t="s">
        <v>31</v>
      </c>
      <c r="D47" s="63"/>
      <c r="E47" s="63">
        <v>483903</v>
      </c>
      <c r="F47" s="63"/>
      <c r="G47" s="63"/>
      <c r="H47" s="36"/>
      <c r="I47" s="36"/>
    </row>
    <row r="48" spans="1:9" ht="12.75">
      <c r="A48" s="67"/>
      <c r="B48" s="68" t="s">
        <v>38</v>
      </c>
      <c r="C48" s="28" t="s">
        <v>25</v>
      </c>
      <c r="D48" s="63"/>
      <c r="E48" s="40"/>
      <c r="F48" s="40"/>
      <c r="G48" s="41"/>
      <c r="H48" s="31"/>
      <c r="I48" s="31"/>
    </row>
    <row r="49" spans="1:10" ht="12.75">
      <c r="A49" s="67"/>
      <c r="B49" s="68" t="s">
        <v>164</v>
      </c>
      <c r="C49" s="28" t="s">
        <v>25</v>
      </c>
      <c r="D49" s="40">
        <f>+D52+D56+D70+D81</f>
        <v>46749.65000000001</v>
      </c>
      <c r="E49" s="40">
        <f>+E52+E56+E70+E81</f>
        <v>55580</v>
      </c>
      <c r="F49" s="40">
        <f>+F52+F56+F70+F81</f>
        <v>4076.5</v>
      </c>
      <c r="G49" s="40">
        <f>+G52+G56+G70+G81</f>
        <v>46946</v>
      </c>
      <c r="H49" s="31">
        <f>G49/D49</f>
        <v>1.0042000314440855</v>
      </c>
      <c r="I49" s="31">
        <f>+G49/E49</f>
        <v>0.8446563512054696</v>
      </c>
      <c r="J49" s="15"/>
    </row>
    <row r="50" spans="1:9" ht="12.75">
      <c r="A50" s="67"/>
      <c r="B50" s="68" t="s">
        <v>165</v>
      </c>
      <c r="C50" s="28" t="s">
        <v>25</v>
      </c>
      <c r="D50" s="40">
        <f>+D53+D59+D64+D69+D73+D78+D84+D90+D95+D100</f>
        <v>35268.14</v>
      </c>
      <c r="E50" s="40">
        <f>+E53+E59+E64+E69+E73+E78+E84+E90+E95+E100</f>
        <v>53780</v>
      </c>
      <c r="F50" s="40">
        <f>+F53+F59+F64+F69+F73+F78+F84+F90+F95+F100</f>
        <v>3297.36</v>
      </c>
      <c r="G50" s="40">
        <f>+G53+G59+G64+G69+G73+G78+G84+G90+G95+G100</f>
        <v>36798.36</v>
      </c>
      <c r="H50" s="31">
        <f>G50/D50</f>
        <v>1.0433881684716007</v>
      </c>
      <c r="I50" s="31">
        <f>+G50/E50</f>
        <v>0.6842387504648568</v>
      </c>
    </row>
    <row r="51" spans="1:9" ht="12.75">
      <c r="A51" s="67"/>
      <c r="B51" s="45" t="s">
        <v>39</v>
      </c>
      <c r="C51" s="28"/>
      <c r="D51" s="49"/>
      <c r="E51" s="49"/>
      <c r="F51" s="49"/>
      <c r="G51" s="49"/>
      <c r="H51" s="31"/>
      <c r="I51" s="31"/>
    </row>
    <row r="52" spans="1:9" ht="12.75">
      <c r="A52" s="67"/>
      <c r="B52" s="69" t="s">
        <v>40</v>
      </c>
      <c r="C52" s="28" t="s">
        <v>25</v>
      </c>
      <c r="D52" s="61">
        <v>4421</v>
      </c>
      <c r="E52" s="61">
        <v>5800</v>
      </c>
      <c r="F52" s="61">
        <f>+G52-3924</f>
        <v>287</v>
      </c>
      <c r="G52" s="61">
        <v>4211</v>
      </c>
      <c r="H52" s="36">
        <f>G52/D52</f>
        <v>0.9524994345170776</v>
      </c>
      <c r="I52" s="36">
        <f>+G52/E52</f>
        <v>0.7260344827586207</v>
      </c>
    </row>
    <row r="53" spans="1:9" ht="12.75">
      <c r="A53" s="67"/>
      <c r="B53" s="69" t="s">
        <v>37</v>
      </c>
      <c r="C53" s="70" t="s">
        <v>41</v>
      </c>
      <c r="D53" s="71">
        <v>3615</v>
      </c>
      <c r="E53" s="71">
        <f>+E52</f>
        <v>5800</v>
      </c>
      <c r="F53" s="72">
        <f>+G53-3050</f>
        <v>520.1100000000001</v>
      </c>
      <c r="G53" s="73">
        <v>3570.11</v>
      </c>
      <c r="H53" s="36">
        <f>G53/D53</f>
        <v>0.987582295988935</v>
      </c>
      <c r="I53" s="36">
        <f>+G53/E53</f>
        <v>0.6155362068965518</v>
      </c>
    </row>
    <row r="54" spans="1:9" ht="12.75">
      <c r="A54" s="67"/>
      <c r="B54" s="69" t="s">
        <v>42</v>
      </c>
      <c r="C54" s="28" t="s">
        <v>34</v>
      </c>
      <c r="D54" s="74">
        <f>+D55/D53*10</f>
        <v>53.626556016597505</v>
      </c>
      <c r="E54" s="74">
        <f>+E55/E53*10</f>
        <v>38.793103448275865</v>
      </c>
      <c r="F54" s="75">
        <f>+(F55/F53)*10</f>
        <v>52.8271711753283</v>
      </c>
      <c r="G54" s="75">
        <f>+(G55/G53)*10</f>
        <v>54</v>
      </c>
      <c r="H54" s="36">
        <f>G54/D54</f>
        <v>1.0069637883008358</v>
      </c>
      <c r="I54" s="36">
        <f>+G54/E54</f>
        <v>1.392</v>
      </c>
    </row>
    <row r="55" spans="1:9" ht="12.75">
      <c r="A55" s="67"/>
      <c r="B55" s="76" t="s">
        <v>35</v>
      </c>
      <c r="C55" s="28" t="s">
        <v>36</v>
      </c>
      <c r="D55" s="71">
        <v>19386</v>
      </c>
      <c r="E55" s="71">
        <v>22500</v>
      </c>
      <c r="F55" s="72">
        <f>+G55-16531</f>
        <v>2747.594000000001</v>
      </c>
      <c r="G55" s="77">
        <f>+G53*5.4</f>
        <v>19278.594</v>
      </c>
      <c r="H55" s="36">
        <f>G55/D55</f>
        <v>0.9944596100278552</v>
      </c>
      <c r="I55" s="36">
        <f>+G55/E55</f>
        <v>0.8568264</v>
      </c>
    </row>
    <row r="56" spans="1:9" ht="12.75">
      <c r="A56" s="67" t="s">
        <v>43</v>
      </c>
      <c r="B56" s="45" t="s">
        <v>44</v>
      </c>
      <c r="C56" s="78" t="s">
        <v>25</v>
      </c>
      <c r="D56" s="79">
        <f>+D58+D63+D68</f>
        <v>2896.21</v>
      </c>
      <c r="E56" s="79">
        <f>+E58+E63+E68</f>
        <v>3650</v>
      </c>
      <c r="F56" s="79">
        <f>+F58+F63+F68</f>
        <v>264</v>
      </c>
      <c r="G56" s="79">
        <f>+G58+G63+G68</f>
        <v>2582</v>
      </c>
      <c r="H56" s="31">
        <f>G56/D56</f>
        <v>0.8915099388511192</v>
      </c>
      <c r="I56" s="31">
        <f>+G56/E56</f>
        <v>0.7073972602739727</v>
      </c>
    </row>
    <row r="57" spans="1:9" ht="13.5">
      <c r="A57" s="67"/>
      <c r="B57" s="45" t="s">
        <v>45</v>
      </c>
      <c r="C57" s="28"/>
      <c r="D57" s="80"/>
      <c r="E57" s="80"/>
      <c r="F57" s="80"/>
      <c r="G57" s="81"/>
      <c r="H57" s="31"/>
      <c r="I57" s="31"/>
    </row>
    <row r="58" spans="1:9" ht="12.75">
      <c r="A58" s="67"/>
      <c r="B58" s="69" t="s">
        <v>46</v>
      </c>
      <c r="C58" s="28" t="s">
        <v>25</v>
      </c>
      <c r="D58" s="61">
        <v>1404.07</v>
      </c>
      <c r="E58" s="61">
        <v>1850</v>
      </c>
      <c r="F58" s="61">
        <f>+G58-1136</f>
        <v>66</v>
      </c>
      <c r="G58" s="34">
        <v>1202</v>
      </c>
      <c r="H58" s="36">
        <f>G58/D58</f>
        <v>0.856082673940758</v>
      </c>
      <c r="I58" s="36">
        <f>+G58/E58</f>
        <v>0.6497297297297298</v>
      </c>
    </row>
    <row r="59" spans="1:9" ht="12.75">
      <c r="A59" s="67"/>
      <c r="B59" s="69" t="s">
        <v>47</v>
      </c>
      <c r="C59" s="70" t="s">
        <v>41</v>
      </c>
      <c r="D59" s="71">
        <v>1079.25</v>
      </c>
      <c r="E59" s="71">
        <f>+E58</f>
        <v>1850</v>
      </c>
      <c r="F59" s="72">
        <f>+G59-789</f>
        <v>193.32000000000005</v>
      </c>
      <c r="G59" s="73">
        <v>982.32</v>
      </c>
      <c r="H59" s="36">
        <f>G59/D59</f>
        <v>0.9101876302988187</v>
      </c>
      <c r="I59" s="36">
        <f>+G59/E59</f>
        <v>0.5309837837837839</v>
      </c>
    </row>
    <row r="60" spans="1:9" ht="12.75">
      <c r="A60" s="67"/>
      <c r="B60" s="69" t="s">
        <v>48</v>
      </c>
      <c r="C60" s="28" t="s">
        <v>34</v>
      </c>
      <c r="D60" s="74">
        <f>+D61/D59*10</f>
        <v>148.4549455640491</v>
      </c>
      <c r="E60" s="74">
        <f>+E61/E59*10</f>
        <v>148.7027027027027</v>
      </c>
      <c r="F60" s="74">
        <f>+F61/F59*10</f>
        <v>166.7720256569417</v>
      </c>
      <c r="G60" s="75">
        <f>+(G61/G59)*10</f>
        <v>167.39999999999998</v>
      </c>
      <c r="H60" s="36">
        <f>G60/D60</f>
        <v>1.1276148420921233</v>
      </c>
      <c r="I60" s="36">
        <f>+G60/E60</f>
        <v>1.1257360959651035</v>
      </c>
    </row>
    <row r="61" spans="1:9" ht="12.75">
      <c r="A61" s="67"/>
      <c r="B61" s="82" t="s">
        <v>49</v>
      </c>
      <c r="C61" s="28" t="s">
        <v>36</v>
      </c>
      <c r="D61" s="83">
        <v>16022</v>
      </c>
      <c r="E61" s="83">
        <v>27510</v>
      </c>
      <c r="F61" s="84">
        <f>+G61-13220</f>
        <v>3224.036799999998</v>
      </c>
      <c r="G61" s="77">
        <f>+G59*16.74</f>
        <v>16444.036799999998</v>
      </c>
      <c r="H61" s="36">
        <f>G61/D61</f>
        <v>1.0263410810136062</v>
      </c>
      <c r="I61" s="36">
        <f>+G61/E61</f>
        <v>0.5977476117775353</v>
      </c>
    </row>
    <row r="62" spans="1:9" ht="12.75">
      <c r="A62" s="67"/>
      <c r="B62" s="45" t="s">
        <v>50</v>
      </c>
      <c r="C62" s="28"/>
      <c r="D62" s="80"/>
      <c r="E62" s="80"/>
      <c r="F62" s="80"/>
      <c r="G62" s="62"/>
      <c r="H62" s="31"/>
      <c r="I62" s="31"/>
    </row>
    <row r="63" spans="1:9" ht="12.75">
      <c r="A63" s="67"/>
      <c r="B63" s="69" t="s">
        <v>46</v>
      </c>
      <c r="C63" s="28" t="s">
        <v>25</v>
      </c>
      <c r="D63" s="61">
        <v>836.14</v>
      </c>
      <c r="E63" s="61">
        <v>1100</v>
      </c>
      <c r="F63" s="61">
        <f>+G63-751</f>
        <v>115</v>
      </c>
      <c r="G63" s="34">
        <v>866</v>
      </c>
      <c r="H63" s="36">
        <f>G63/D63</f>
        <v>1.0357117229172148</v>
      </c>
      <c r="I63" s="36">
        <f>+G63/E63</f>
        <v>0.7872727272727272</v>
      </c>
    </row>
    <row r="64" spans="1:9" ht="12.75">
      <c r="A64" s="67"/>
      <c r="B64" s="69" t="s">
        <v>47</v>
      </c>
      <c r="C64" s="70" t="s">
        <v>41</v>
      </c>
      <c r="D64" s="71">
        <v>621.28</v>
      </c>
      <c r="E64" s="71">
        <f>+E63</f>
        <v>1100</v>
      </c>
      <c r="F64" s="72">
        <f>+G64-478</f>
        <v>34.40999999999997</v>
      </c>
      <c r="G64" s="77">
        <v>512.41</v>
      </c>
      <c r="H64" s="36">
        <f>G64/D64</f>
        <v>0.8247650012876642</v>
      </c>
      <c r="I64" s="36">
        <f>+G64/E64</f>
        <v>0.4658272727272727</v>
      </c>
    </row>
    <row r="65" spans="1:9" ht="12.75">
      <c r="A65" s="67"/>
      <c r="B65" s="69" t="s">
        <v>48</v>
      </c>
      <c r="C65" s="28" t="s">
        <v>34</v>
      </c>
      <c r="D65" s="74">
        <f>+D66/D64*10</f>
        <v>144.49201648210146</v>
      </c>
      <c r="E65" s="74">
        <f>+E66/E64*10</f>
        <v>138</v>
      </c>
      <c r="F65" s="74">
        <f>+F66/F64*10</f>
        <v>132.6949142691078</v>
      </c>
      <c r="G65" s="75">
        <f>+(G66/G64)*10</f>
        <v>155.2</v>
      </c>
      <c r="H65" s="36">
        <f>G65/D65</f>
        <v>1.0741077865656679</v>
      </c>
      <c r="I65" s="36">
        <f>+G65/E65</f>
        <v>1.1246376811594203</v>
      </c>
    </row>
    <row r="66" spans="1:9" ht="12.75">
      <c r="A66" s="67"/>
      <c r="B66" s="82" t="s">
        <v>49</v>
      </c>
      <c r="C66" s="28" t="s">
        <v>36</v>
      </c>
      <c r="D66" s="80">
        <v>8977</v>
      </c>
      <c r="E66" s="80">
        <v>15180</v>
      </c>
      <c r="F66" s="85">
        <f>+G66-7496</f>
        <v>456.60319999999956</v>
      </c>
      <c r="G66" s="77">
        <f>+G64*15.52</f>
        <v>7952.6032</v>
      </c>
      <c r="H66" s="36">
        <f>G66/D66</f>
        <v>0.8858865099699231</v>
      </c>
      <c r="I66" s="36">
        <f>+G66/E66</f>
        <v>0.5238869038208168</v>
      </c>
    </row>
    <row r="67" spans="1:9" ht="12.75">
      <c r="A67" s="67"/>
      <c r="B67" s="45" t="s">
        <v>51</v>
      </c>
      <c r="C67" s="28"/>
      <c r="D67" s="80"/>
      <c r="E67" s="80"/>
      <c r="F67" s="80"/>
      <c r="G67" s="86"/>
      <c r="H67" s="31"/>
      <c r="I67" s="31"/>
    </row>
    <row r="68" spans="1:9" ht="12.75">
      <c r="A68" s="67"/>
      <c r="B68" s="69" t="s">
        <v>46</v>
      </c>
      <c r="C68" s="28" t="s">
        <v>25</v>
      </c>
      <c r="D68" s="61">
        <v>656</v>
      </c>
      <c r="E68" s="87">
        <v>700</v>
      </c>
      <c r="F68" s="87">
        <f>+G68-431</f>
        <v>83</v>
      </c>
      <c r="G68" s="88">
        <v>514</v>
      </c>
      <c r="H68" s="36">
        <f>G68/D68</f>
        <v>0.7835365853658537</v>
      </c>
      <c r="I68" s="36">
        <f>+G68/E68</f>
        <v>0.7342857142857143</v>
      </c>
    </row>
    <row r="69" spans="1:9" ht="12.75">
      <c r="A69" s="67"/>
      <c r="B69" s="69" t="s">
        <v>47</v>
      </c>
      <c r="C69" s="70" t="s">
        <v>41</v>
      </c>
      <c r="D69" s="83">
        <v>377</v>
      </c>
      <c r="E69" s="89">
        <f>+E68</f>
        <v>700</v>
      </c>
      <c r="F69" s="89">
        <f>+G69-358</f>
        <v>7.5400000000000205</v>
      </c>
      <c r="G69" s="88">
        <v>365.54</v>
      </c>
      <c r="H69" s="36">
        <f>G69/D69</f>
        <v>0.9696021220159152</v>
      </c>
      <c r="I69" s="36">
        <f>+G69/E69</f>
        <v>0.5222</v>
      </c>
    </row>
    <row r="70" spans="1:9" ht="12.75">
      <c r="A70" s="67" t="s">
        <v>52</v>
      </c>
      <c r="B70" s="45" t="s">
        <v>53</v>
      </c>
      <c r="C70" s="28" t="s">
        <v>25</v>
      </c>
      <c r="D70" s="79">
        <f>+D72+D77</f>
        <v>25588.24</v>
      </c>
      <c r="E70" s="79">
        <f>+E72+E77</f>
        <v>31100</v>
      </c>
      <c r="F70" s="79">
        <f>+F72+F77</f>
        <v>2927</v>
      </c>
      <c r="G70" s="79">
        <f>+G72+G77</f>
        <v>25589</v>
      </c>
      <c r="H70" s="31">
        <f>G70/D70</f>
        <v>1.000029701143963</v>
      </c>
      <c r="I70" s="31">
        <f>+G70/E70</f>
        <v>0.8227974276527331</v>
      </c>
    </row>
    <row r="71" spans="1:9" ht="12.75">
      <c r="A71" s="67"/>
      <c r="B71" s="45" t="s">
        <v>54</v>
      </c>
      <c r="C71" s="28"/>
      <c r="D71" s="79"/>
      <c r="E71" s="79"/>
      <c r="F71" s="79"/>
      <c r="G71" s="79"/>
      <c r="H71" s="31"/>
      <c r="I71" s="31"/>
    </row>
    <row r="72" spans="1:9" ht="12.75">
      <c r="A72" s="67"/>
      <c r="B72" s="33" t="s">
        <v>55</v>
      </c>
      <c r="C72" s="28" t="s">
        <v>25</v>
      </c>
      <c r="D72" s="63">
        <v>24902.11</v>
      </c>
      <c r="E72" s="63">
        <v>30000</v>
      </c>
      <c r="F72" s="63">
        <f>+G72-21877</f>
        <v>2924</v>
      </c>
      <c r="G72" s="88">
        <v>24801</v>
      </c>
      <c r="H72" s="36">
        <f>G72/D72</f>
        <v>0.9959397014951745</v>
      </c>
      <c r="I72" s="36">
        <f>+G72/E72</f>
        <v>0.8267</v>
      </c>
    </row>
    <row r="73" spans="1:9" ht="12.75">
      <c r="A73" s="67"/>
      <c r="B73" s="69" t="s">
        <v>47</v>
      </c>
      <c r="C73" s="70" t="s">
        <v>41</v>
      </c>
      <c r="D73" s="63">
        <v>18657.61</v>
      </c>
      <c r="E73" s="63">
        <f>+E72</f>
        <v>30000</v>
      </c>
      <c r="F73" s="63">
        <f>+G73-17208</f>
        <v>2362</v>
      </c>
      <c r="G73" s="88">
        <v>19570</v>
      </c>
      <c r="H73" s="36">
        <f>G73/D73</f>
        <v>1.0489017618012166</v>
      </c>
      <c r="I73" s="36">
        <f>+G73/E73</f>
        <v>0.6523333333333333</v>
      </c>
    </row>
    <row r="74" spans="1:9" ht="12.75">
      <c r="A74" s="67"/>
      <c r="B74" s="69" t="s">
        <v>48</v>
      </c>
      <c r="C74" s="28" t="s">
        <v>34</v>
      </c>
      <c r="D74" s="62">
        <f>+D75/D73*10</f>
        <v>207.49978159046094</v>
      </c>
      <c r="E74" s="63">
        <f>+E75/E73*10</f>
        <v>206</v>
      </c>
      <c r="F74" s="90">
        <f>+F75/F73*10</f>
        <v>201.8670618120237</v>
      </c>
      <c r="G74" s="90">
        <f>+G75/G73*10</f>
        <v>205</v>
      </c>
      <c r="H74" s="36">
        <f>G74/D74</f>
        <v>0.9879528471244624</v>
      </c>
      <c r="I74" s="36">
        <f>+G74/E74</f>
        <v>0.9951456310679612</v>
      </c>
    </row>
    <row r="75" spans="1:9" ht="12.75">
      <c r="A75" s="67"/>
      <c r="B75" s="82" t="s">
        <v>49</v>
      </c>
      <c r="C75" s="28" t="s">
        <v>36</v>
      </c>
      <c r="D75" s="63">
        <v>387145</v>
      </c>
      <c r="E75" s="63">
        <v>618000</v>
      </c>
      <c r="F75" s="63">
        <f>+G75-353504</f>
        <v>47681</v>
      </c>
      <c r="G75" s="88">
        <f>+G73*20.5</f>
        <v>401185</v>
      </c>
      <c r="H75" s="36">
        <f>G75/D75</f>
        <v>1.0362654819253767</v>
      </c>
      <c r="I75" s="36">
        <f>+G75/E75</f>
        <v>0.6491666666666667</v>
      </c>
    </row>
    <row r="76" spans="1:9" ht="12.75">
      <c r="A76" s="67"/>
      <c r="B76" s="68" t="s">
        <v>56</v>
      </c>
      <c r="C76" s="28"/>
      <c r="D76" s="63"/>
      <c r="E76" s="63"/>
      <c r="F76" s="63"/>
      <c r="G76" s="71"/>
      <c r="H76" s="36"/>
      <c r="I76" s="36"/>
    </row>
    <row r="77" spans="1:9" ht="12.75">
      <c r="A77" s="67"/>
      <c r="B77" s="33" t="s">
        <v>55</v>
      </c>
      <c r="C77" s="28" t="s">
        <v>25</v>
      </c>
      <c r="D77" s="63">
        <f>686.13</f>
        <v>686.13</v>
      </c>
      <c r="E77" s="63">
        <v>1100</v>
      </c>
      <c r="F77" s="63">
        <f>+G77-785</f>
        <v>3</v>
      </c>
      <c r="G77" s="88">
        <v>788</v>
      </c>
      <c r="H77" s="36">
        <f>G77/D77</f>
        <v>1.1484704064827365</v>
      </c>
      <c r="I77" s="36">
        <f>+G77/E77</f>
        <v>0.7163636363636363</v>
      </c>
    </row>
    <row r="78" spans="1:9" ht="12.75">
      <c r="A78" s="67"/>
      <c r="B78" s="69" t="s">
        <v>47</v>
      </c>
      <c r="C78" s="70" t="s">
        <v>41</v>
      </c>
      <c r="D78" s="63">
        <v>577</v>
      </c>
      <c r="E78" s="63">
        <f>+E77</f>
        <v>1100</v>
      </c>
      <c r="F78" s="63">
        <f>+G78-525</f>
        <v>55.60000000000002</v>
      </c>
      <c r="G78" s="88">
        <v>580.6</v>
      </c>
      <c r="H78" s="36">
        <f>G78/D78</f>
        <v>1.0062391681109186</v>
      </c>
      <c r="I78" s="36">
        <f>+G78/E78</f>
        <v>0.5278181818181819</v>
      </c>
    </row>
    <row r="79" spans="1:9" ht="12.75">
      <c r="A79" s="67"/>
      <c r="B79" s="69" t="s">
        <v>48</v>
      </c>
      <c r="C79" s="28" t="s">
        <v>34</v>
      </c>
      <c r="D79" s="62">
        <f>+D80/D78*10</f>
        <v>13.209999999999999</v>
      </c>
      <c r="E79" s="63">
        <f>+E80/E78*10</f>
        <v>12</v>
      </c>
      <c r="F79" s="90">
        <f>+F80/F78*10</f>
        <v>12.451079136690634</v>
      </c>
      <c r="G79" s="90">
        <f>+G80/G78*10</f>
        <v>13.799999999999999</v>
      </c>
      <c r="H79" s="36">
        <f>G79/D79</f>
        <v>1.044663133989402</v>
      </c>
      <c r="I79" s="36">
        <f>+G79/E79</f>
        <v>1.15</v>
      </c>
    </row>
    <row r="80" spans="1:9" ht="12.75">
      <c r="A80" s="67"/>
      <c r="B80" s="82" t="s">
        <v>49</v>
      </c>
      <c r="C80" s="28" t="s">
        <v>36</v>
      </c>
      <c r="D80" s="63">
        <f>+D78*1.321</f>
        <v>762.217</v>
      </c>
      <c r="E80" s="63">
        <v>1320</v>
      </c>
      <c r="F80" s="63">
        <f>+G80-732</f>
        <v>69.22799999999995</v>
      </c>
      <c r="G80" s="88">
        <f>+G78*1.38</f>
        <v>801.228</v>
      </c>
      <c r="H80" s="36">
        <f>G80/D80</f>
        <v>1.0511809629016409</v>
      </c>
      <c r="I80" s="36">
        <f>+G80/E80</f>
        <v>0.606990909090909</v>
      </c>
    </row>
    <row r="81" spans="1:9" ht="12.75">
      <c r="A81" s="91" t="s">
        <v>57</v>
      </c>
      <c r="B81" s="45" t="s">
        <v>58</v>
      </c>
      <c r="C81" s="28" t="s">
        <v>59</v>
      </c>
      <c r="D81" s="79">
        <f>+D83+D88+D94+D98</f>
        <v>13844.2</v>
      </c>
      <c r="E81" s="79">
        <f>+E83+E88+E94+E98</f>
        <v>15030</v>
      </c>
      <c r="F81" s="79">
        <f>+F83+F88+F94+F98</f>
        <v>598.5</v>
      </c>
      <c r="G81" s="79">
        <f>+G83+G88+G94+G98</f>
        <v>14564</v>
      </c>
      <c r="H81" s="31">
        <f>G81/D81</f>
        <v>1.051992892330362</v>
      </c>
      <c r="I81" s="31">
        <f>+G81/E81</f>
        <v>0.9689953426480372</v>
      </c>
    </row>
    <row r="82" spans="1:9" ht="13.5">
      <c r="A82" s="67"/>
      <c r="B82" s="45" t="s">
        <v>60</v>
      </c>
      <c r="C82" s="78" t="s">
        <v>25</v>
      </c>
      <c r="D82" s="56"/>
      <c r="E82" s="92"/>
      <c r="F82" s="92"/>
      <c r="G82" s="92"/>
      <c r="H82" s="31"/>
      <c r="I82" s="31"/>
    </row>
    <row r="83" spans="1:9" ht="12.75">
      <c r="A83" s="67"/>
      <c r="B83" s="69" t="s">
        <v>46</v>
      </c>
      <c r="C83" s="28" t="s">
        <v>25</v>
      </c>
      <c r="D83" s="61">
        <v>4102.85</v>
      </c>
      <c r="E83" s="61">
        <v>4950</v>
      </c>
      <c r="F83" s="61">
        <f>+G83-4066</f>
        <v>56</v>
      </c>
      <c r="G83" s="88">
        <v>4122</v>
      </c>
      <c r="H83" s="31">
        <f>G83/D83</f>
        <v>1.0046674872344832</v>
      </c>
      <c r="I83" s="31">
        <f>+G83/E83</f>
        <v>0.8327272727272728</v>
      </c>
    </row>
    <row r="84" spans="1:9" ht="12.75">
      <c r="A84" s="67"/>
      <c r="B84" s="69" t="s">
        <v>47</v>
      </c>
      <c r="C84" s="70" t="s">
        <v>41</v>
      </c>
      <c r="D84" s="71">
        <v>3541.8</v>
      </c>
      <c r="E84" s="71">
        <f>+E83</f>
        <v>4950</v>
      </c>
      <c r="F84" s="72">
        <f>+G84-3752</f>
        <v>15.38000000000011</v>
      </c>
      <c r="G84" s="77">
        <v>3767.38</v>
      </c>
      <c r="H84" s="36">
        <f>G84/D84</f>
        <v>1.063690778700096</v>
      </c>
      <c r="I84" s="36">
        <f>+G84/E84</f>
        <v>0.7610868686868687</v>
      </c>
    </row>
    <row r="85" spans="1:9" ht="12.75">
      <c r="A85" s="67"/>
      <c r="B85" s="69" t="s">
        <v>48</v>
      </c>
      <c r="C85" s="28" t="s">
        <v>34</v>
      </c>
      <c r="D85" s="74">
        <f>+D86/D84*10</f>
        <v>47.9900050821616</v>
      </c>
      <c r="E85" s="74">
        <f>+E86/E84*10</f>
        <v>46.8</v>
      </c>
      <c r="F85" s="75">
        <f>+(F86/F84)*10</f>
        <v>34.252795838752625</v>
      </c>
      <c r="G85" s="75">
        <f>+(G86/G84)*10</f>
        <v>51.6</v>
      </c>
      <c r="H85" s="36">
        <f>G85/D85</f>
        <v>1.0752238911343703</v>
      </c>
      <c r="I85" s="36">
        <f>+G85/E85</f>
        <v>1.1025641025641026</v>
      </c>
    </row>
    <row r="86" spans="1:9" ht="12.75">
      <c r="A86" s="67"/>
      <c r="B86" s="82" t="s">
        <v>49</v>
      </c>
      <c r="C86" s="28" t="s">
        <v>36</v>
      </c>
      <c r="D86" s="80">
        <v>16997.1</v>
      </c>
      <c r="E86" s="80">
        <v>23166</v>
      </c>
      <c r="F86" s="85">
        <f>+G86-19387</f>
        <v>52.68080000000191</v>
      </c>
      <c r="G86" s="77">
        <f>+G84*5.16</f>
        <v>19439.680800000002</v>
      </c>
      <c r="H86" s="36">
        <f>G86/D86</f>
        <v>1.1437057380376654</v>
      </c>
      <c r="I86" s="36">
        <f>+G86/E86</f>
        <v>0.8391470603470604</v>
      </c>
    </row>
    <row r="87" spans="1:9" ht="12.75">
      <c r="A87" s="67"/>
      <c r="B87" s="45" t="s">
        <v>61</v>
      </c>
      <c r="C87" s="28"/>
      <c r="D87" s="141"/>
      <c r="E87" s="80"/>
      <c r="F87" s="80"/>
      <c r="G87" s="93"/>
      <c r="H87" s="31"/>
      <c r="I87" s="31"/>
    </row>
    <row r="88" spans="1:9" ht="12.75">
      <c r="A88" s="67"/>
      <c r="B88" s="69" t="s">
        <v>62</v>
      </c>
      <c r="C88" s="28" t="s">
        <v>25</v>
      </c>
      <c r="D88" s="61">
        <v>6567.77</v>
      </c>
      <c r="E88" s="61">
        <v>6600</v>
      </c>
      <c r="F88" s="61">
        <f>+G88-6426</f>
        <v>71</v>
      </c>
      <c r="G88" s="88">
        <v>6497</v>
      </c>
      <c r="H88" s="36">
        <f>G88/D88</f>
        <v>0.989224653116659</v>
      </c>
      <c r="I88" s="36">
        <f>+G88/E88</f>
        <v>0.9843939393939394</v>
      </c>
    </row>
    <row r="89" spans="1:9" ht="12.75">
      <c r="A89" s="67"/>
      <c r="B89" s="33" t="s">
        <v>63</v>
      </c>
      <c r="C89" s="70" t="s">
        <v>41</v>
      </c>
      <c r="D89" s="80"/>
      <c r="E89" s="80"/>
      <c r="F89" s="80"/>
      <c r="G89" s="88"/>
      <c r="H89" s="36"/>
      <c r="I89" s="36"/>
    </row>
    <row r="90" spans="1:9" ht="12.75">
      <c r="A90" s="67"/>
      <c r="B90" s="69" t="s">
        <v>47</v>
      </c>
      <c r="C90" s="70" t="s">
        <v>41</v>
      </c>
      <c r="D90" s="71">
        <v>5511</v>
      </c>
      <c r="E90" s="71">
        <f>+E88</f>
        <v>6600</v>
      </c>
      <c r="F90" s="72">
        <f>+G90-5693</f>
        <v>34</v>
      </c>
      <c r="G90" s="77">
        <v>5727</v>
      </c>
      <c r="H90" s="36">
        <f>G90/D90</f>
        <v>1.0391943385955362</v>
      </c>
      <c r="I90" s="36">
        <f>+G90/E90</f>
        <v>0.8677272727272727</v>
      </c>
    </row>
    <row r="91" spans="1:9" ht="12.75">
      <c r="A91" s="67"/>
      <c r="B91" s="69" t="s">
        <v>64</v>
      </c>
      <c r="C91" s="28" t="s">
        <v>34</v>
      </c>
      <c r="D91" s="71">
        <f>+D92/D90*10</f>
        <v>1069.337688259844</v>
      </c>
      <c r="E91" s="71">
        <f>+E92/E90*10</f>
        <v>1060</v>
      </c>
      <c r="F91" s="75">
        <f>(F92/F90)*10</f>
        <v>723.3823529411766</v>
      </c>
      <c r="G91" s="77">
        <f>(G92/G90)*10</f>
        <v>1075</v>
      </c>
      <c r="H91" s="36">
        <f>G91/D91</f>
        <v>1.0052951577432665</v>
      </c>
      <c r="I91" s="36">
        <f>+G91/E91</f>
        <v>1.0141509433962264</v>
      </c>
    </row>
    <row r="92" spans="1:9" ht="12.75">
      <c r="A92" s="67"/>
      <c r="B92" s="82" t="s">
        <v>49</v>
      </c>
      <c r="C92" s="28" t="s">
        <v>36</v>
      </c>
      <c r="D92" s="80">
        <v>589312</v>
      </c>
      <c r="E92" s="80">
        <v>699600</v>
      </c>
      <c r="F92" s="85">
        <f>+G92-613193</f>
        <v>2459.5</v>
      </c>
      <c r="G92" s="73">
        <f>+G90*107.5</f>
        <v>615652.5</v>
      </c>
      <c r="H92" s="36">
        <f>G92/D92</f>
        <v>1.0446970365443093</v>
      </c>
      <c r="I92" s="36">
        <f>+G92/E92</f>
        <v>0.8800064322469983</v>
      </c>
    </row>
    <row r="93" spans="1:9" ht="12.75">
      <c r="A93" s="67"/>
      <c r="B93" s="68" t="s">
        <v>65</v>
      </c>
      <c r="C93" s="28"/>
      <c r="D93" s="80"/>
      <c r="E93" s="80"/>
      <c r="F93" s="80"/>
      <c r="G93" s="71"/>
      <c r="H93" s="31"/>
      <c r="I93" s="31"/>
    </row>
    <row r="94" spans="1:9" ht="12.75">
      <c r="A94" s="67"/>
      <c r="B94" s="69" t="s">
        <v>46</v>
      </c>
      <c r="C94" s="28" t="s">
        <v>25</v>
      </c>
      <c r="D94" s="80">
        <v>1757.38</v>
      </c>
      <c r="E94" s="80">
        <v>1500</v>
      </c>
      <c r="F94" s="80">
        <f>+G94-1890</f>
        <v>344</v>
      </c>
      <c r="G94" s="88">
        <v>2234</v>
      </c>
      <c r="H94" s="36">
        <f aca="true" t="shared" si="2" ref="H94:H100">G94/D94</f>
        <v>1.2712105520718342</v>
      </c>
      <c r="I94" s="36">
        <f aca="true" t="shared" si="3" ref="I94:I100">+G94/E94</f>
        <v>1.4893333333333334</v>
      </c>
    </row>
    <row r="95" spans="1:9" ht="12.75">
      <c r="A95" s="67"/>
      <c r="B95" s="69" t="s">
        <v>47</v>
      </c>
      <c r="C95" s="70" t="s">
        <v>41</v>
      </c>
      <c r="D95" s="71">
        <v>1077</v>
      </c>
      <c r="E95" s="71">
        <f>+E94</f>
        <v>1500</v>
      </c>
      <c r="F95" s="71">
        <f>+G95-1500</f>
        <v>75</v>
      </c>
      <c r="G95" s="77">
        <v>1575</v>
      </c>
      <c r="H95" s="36">
        <f t="shared" si="2"/>
        <v>1.4623955431754874</v>
      </c>
      <c r="I95" s="36">
        <f t="shared" si="3"/>
        <v>1.05</v>
      </c>
    </row>
    <row r="96" spans="1:9" ht="12.75">
      <c r="A96" s="67"/>
      <c r="B96" s="69" t="s">
        <v>48</v>
      </c>
      <c r="C96" s="28" t="s">
        <v>34</v>
      </c>
      <c r="D96" s="74">
        <f>+D97/D95*10</f>
        <v>88.55000000000001</v>
      </c>
      <c r="E96" s="74">
        <f>+E97/E95*10</f>
        <v>100</v>
      </c>
      <c r="F96" s="75">
        <f>(F97/F95)*10</f>
        <v>61.233333333333334</v>
      </c>
      <c r="G96" s="75">
        <f>(G97/G95)*10</f>
        <v>105.5</v>
      </c>
      <c r="H96" s="36">
        <f t="shared" si="2"/>
        <v>1.1914172783738</v>
      </c>
      <c r="I96" s="36">
        <f t="shared" si="3"/>
        <v>1.055</v>
      </c>
    </row>
    <row r="97" spans="1:9" ht="12.75">
      <c r="A97" s="67"/>
      <c r="B97" s="82" t="s">
        <v>49</v>
      </c>
      <c r="C97" s="28" t="s">
        <v>36</v>
      </c>
      <c r="D97" s="80">
        <f>+D95*8.855</f>
        <v>9536.835000000001</v>
      </c>
      <c r="E97" s="80">
        <v>15000</v>
      </c>
      <c r="F97" s="85">
        <f>+G97-16157</f>
        <v>459.25</v>
      </c>
      <c r="G97" s="73">
        <f>+G95*10.55</f>
        <v>16616.25</v>
      </c>
      <c r="H97" s="36">
        <f t="shared" si="2"/>
        <v>1.7423233179561142</v>
      </c>
      <c r="I97" s="36">
        <f t="shared" si="3"/>
        <v>1.10775</v>
      </c>
    </row>
    <row r="98" spans="1:9" ht="12.75">
      <c r="A98" s="67"/>
      <c r="B98" s="94" t="s">
        <v>66</v>
      </c>
      <c r="C98" s="95" t="s">
        <v>14</v>
      </c>
      <c r="D98" s="40">
        <f>+D99+D100</f>
        <v>1416.2</v>
      </c>
      <c r="E98" s="40">
        <f>+E99+E100</f>
        <v>1980</v>
      </c>
      <c r="F98" s="40">
        <f>+F99+F100</f>
        <v>127.5</v>
      </c>
      <c r="G98" s="40">
        <f>+G99+G100</f>
        <v>1711</v>
      </c>
      <c r="H98" s="36">
        <f t="shared" si="2"/>
        <v>1.2081626888857506</v>
      </c>
      <c r="I98" s="36">
        <f t="shared" si="3"/>
        <v>0.8641414141414141</v>
      </c>
    </row>
    <row r="99" spans="1:9" ht="12.75">
      <c r="A99" s="67"/>
      <c r="B99" s="96" t="s">
        <v>67</v>
      </c>
      <c r="C99" s="95" t="s">
        <v>32</v>
      </c>
      <c r="D99" s="63">
        <v>1205</v>
      </c>
      <c r="E99" s="63">
        <v>1800</v>
      </c>
      <c r="F99" s="63">
        <f>+G99-1435.5</f>
        <v>127.5</v>
      </c>
      <c r="G99" s="34">
        <v>1563</v>
      </c>
      <c r="H99" s="36">
        <f t="shared" si="2"/>
        <v>1.2970954356846474</v>
      </c>
      <c r="I99" s="36">
        <f t="shared" si="3"/>
        <v>0.8683333333333333</v>
      </c>
    </row>
    <row r="100" spans="1:9" ht="12.75">
      <c r="A100" s="67"/>
      <c r="B100" s="96" t="s">
        <v>68</v>
      </c>
      <c r="C100" s="95" t="s">
        <v>32</v>
      </c>
      <c r="D100" s="63">
        <v>211.2</v>
      </c>
      <c r="E100" s="63">
        <v>180</v>
      </c>
      <c r="F100" s="63">
        <f>+G100-148</f>
        <v>0</v>
      </c>
      <c r="G100" s="34">
        <v>148</v>
      </c>
      <c r="H100" s="36">
        <f t="shared" si="2"/>
        <v>0.7007575757575758</v>
      </c>
      <c r="I100" s="36">
        <f t="shared" si="3"/>
        <v>0.8222222222222222</v>
      </c>
    </row>
    <row r="101" spans="1:9" ht="12.75">
      <c r="A101" s="91">
        <v>2</v>
      </c>
      <c r="B101" s="45" t="s">
        <v>69</v>
      </c>
      <c r="C101" s="28"/>
      <c r="D101" s="97"/>
      <c r="E101" s="33"/>
      <c r="F101" s="33"/>
      <c r="G101" s="98"/>
      <c r="H101" s="36"/>
      <c r="I101" s="36"/>
    </row>
    <row r="102" spans="1:9" ht="12.75">
      <c r="A102" s="91"/>
      <c r="B102" s="33" t="s">
        <v>166</v>
      </c>
      <c r="C102" s="28"/>
      <c r="D102" s="97"/>
      <c r="E102" s="33"/>
      <c r="F102" s="33"/>
      <c r="G102" s="98"/>
      <c r="H102" s="36"/>
      <c r="I102" s="36"/>
    </row>
    <row r="103" spans="1:9" ht="12.75">
      <c r="A103" s="91"/>
      <c r="B103" s="33" t="s">
        <v>177</v>
      </c>
      <c r="C103" s="28" t="s">
        <v>32</v>
      </c>
      <c r="D103" s="80">
        <f>17568+8</f>
        <v>17576</v>
      </c>
      <c r="E103" s="63">
        <v>18350</v>
      </c>
      <c r="F103" s="63"/>
      <c r="G103" s="61">
        <v>18000</v>
      </c>
      <c r="H103" s="36">
        <f>G103/D103</f>
        <v>1.024123805188894</v>
      </c>
      <c r="I103" s="36">
        <f>+G103/E103</f>
        <v>0.9809264305177112</v>
      </c>
    </row>
    <row r="104" spans="1:9" ht="12.75">
      <c r="A104" s="91"/>
      <c r="B104" s="33" t="s">
        <v>178</v>
      </c>
      <c r="C104" s="28" t="s">
        <v>31</v>
      </c>
      <c r="D104" s="80">
        <v>153182</v>
      </c>
      <c r="E104" s="63">
        <v>207355</v>
      </c>
      <c r="F104" s="63"/>
      <c r="G104" s="61">
        <v>162720</v>
      </c>
      <c r="H104" s="36">
        <f>G104/D104</f>
        <v>1.062265801464924</v>
      </c>
      <c r="I104" s="36">
        <f>+G104/E104</f>
        <v>0.784741144414169</v>
      </c>
    </row>
    <row r="105" spans="1:9" ht="12.75">
      <c r="A105" s="91"/>
      <c r="B105" s="33" t="s">
        <v>167</v>
      </c>
      <c r="C105" s="28"/>
      <c r="D105" s="80"/>
      <c r="E105" s="99"/>
      <c r="F105" s="99"/>
      <c r="G105" s="100"/>
      <c r="H105" s="36"/>
      <c r="I105" s="36"/>
    </row>
    <row r="106" spans="1:9" ht="12.75">
      <c r="A106" s="91"/>
      <c r="B106" s="33" t="s">
        <v>177</v>
      </c>
      <c r="C106" s="28" t="s">
        <v>32</v>
      </c>
      <c r="D106" s="80">
        <v>15525</v>
      </c>
      <c r="E106" s="63">
        <v>15500</v>
      </c>
      <c r="F106" s="63"/>
      <c r="G106" s="61">
        <v>16450</v>
      </c>
      <c r="H106" s="36">
        <f>G106/D106</f>
        <v>1.0595813204508857</v>
      </c>
      <c r="I106" s="36">
        <f>+G106/E106</f>
        <v>1.0612903225806452</v>
      </c>
    </row>
    <row r="107" spans="1:9" ht="12.75">
      <c r="A107" s="91"/>
      <c r="B107" s="33" t="s">
        <v>178</v>
      </c>
      <c r="C107" s="28" t="s">
        <v>31</v>
      </c>
      <c r="D107" s="80">
        <v>145871</v>
      </c>
      <c r="E107" s="63">
        <v>186000</v>
      </c>
      <c r="F107" s="63"/>
      <c r="G107" s="61">
        <f>+G106*12.42*0.8</f>
        <v>163447.2</v>
      </c>
      <c r="H107" s="36">
        <f>G107/D107</f>
        <v>1.1204913930801874</v>
      </c>
      <c r="I107" s="36">
        <f>+G107/E107</f>
        <v>0.8787483870967743</v>
      </c>
    </row>
    <row r="108" spans="1:9" ht="12.75">
      <c r="A108" s="91" t="s">
        <v>70</v>
      </c>
      <c r="B108" s="101" t="s">
        <v>71</v>
      </c>
      <c r="C108" s="102"/>
      <c r="D108" s="80"/>
      <c r="E108" s="103"/>
      <c r="F108" s="103"/>
      <c r="G108" s="103"/>
      <c r="H108" s="36"/>
      <c r="I108" s="36"/>
    </row>
    <row r="109" spans="1:10" ht="12.75">
      <c r="A109" s="104"/>
      <c r="B109" s="105" t="s">
        <v>168</v>
      </c>
      <c r="C109" s="102" t="s">
        <v>72</v>
      </c>
      <c r="D109" s="80">
        <v>2214</v>
      </c>
      <c r="E109" s="106">
        <v>2000</v>
      </c>
      <c r="F109" s="33"/>
      <c r="G109" s="71">
        <v>1600</v>
      </c>
      <c r="H109" s="36">
        <f aca="true" t="shared" si="4" ref="H109:H124">G109/D109</f>
        <v>0.7226738934056007</v>
      </c>
      <c r="I109" s="36">
        <f>+G109/E109</f>
        <v>0.8</v>
      </c>
      <c r="J109" s="15"/>
    </row>
    <row r="110" spans="1:11" ht="12.75">
      <c r="A110" s="104"/>
      <c r="B110" s="105" t="s">
        <v>169</v>
      </c>
      <c r="C110" s="102" t="s">
        <v>72</v>
      </c>
      <c r="D110" s="80">
        <v>151547</v>
      </c>
      <c r="E110" s="106">
        <v>135000</v>
      </c>
      <c r="F110" s="33"/>
      <c r="G110" s="71">
        <v>132200</v>
      </c>
      <c r="H110" s="36">
        <f t="shared" si="4"/>
        <v>0.8723366348393568</v>
      </c>
      <c r="I110" s="36">
        <f>+G110/E110</f>
        <v>0.9792592592592593</v>
      </c>
      <c r="J110" s="15"/>
      <c r="K110" s="15"/>
    </row>
    <row r="111" spans="1:11" ht="12.75">
      <c r="A111" s="104"/>
      <c r="B111" s="105" t="s">
        <v>170</v>
      </c>
      <c r="C111" s="102" t="s">
        <v>72</v>
      </c>
      <c r="D111" s="80">
        <v>454273</v>
      </c>
      <c r="E111" s="106">
        <v>440000</v>
      </c>
      <c r="F111" s="33"/>
      <c r="G111" s="71">
        <v>420000</v>
      </c>
      <c r="H111" s="36">
        <f t="shared" si="4"/>
        <v>0.9245541777741578</v>
      </c>
      <c r="I111" s="36">
        <f>+G111/E111</f>
        <v>0.9545454545454546</v>
      </c>
      <c r="J111" s="15"/>
      <c r="K111" s="15"/>
    </row>
    <row r="112" spans="1:11" ht="12.75">
      <c r="A112" s="104"/>
      <c r="B112" s="105" t="s">
        <v>171</v>
      </c>
      <c r="C112" s="102" t="s">
        <v>176</v>
      </c>
      <c r="D112" s="80">
        <v>4912</v>
      </c>
      <c r="E112" s="106">
        <v>6000</v>
      </c>
      <c r="F112" s="33"/>
      <c r="G112" s="71">
        <v>5650</v>
      </c>
      <c r="H112" s="36">
        <f t="shared" si="4"/>
        <v>1.150244299674267</v>
      </c>
      <c r="I112" s="36">
        <f>+G112/E112</f>
        <v>0.9416666666666667</v>
      </c>
      <c r="K112" s="15"/>
    </row>
    <row r="113" spans="1:9" ht="12.75">
      <c r="A113" s="107" t="s">
        <v>10</v>
      </c>
      <c r="B113" s="64" t="s">
        <v>74</v>
      </c>
      <c r="C113" s="32"/>
      <c r="D113" s="32"/>
      <c r="E113" s="65"/>
      <c r="F113" s="65"/>
      <c r="G113" s="71"/>
      <c r="H113" s="36"/>
      <c r="I113" s="36"/>
    </row>
    <row r="114" spans="1:9" ht="12.75">
      <c r="A114" s="107" t="s">
        <v>75</v>
      </c>
      <c r="B114" s="64" t="s">
        <v>76</v>
      </c>
      <c r="C114" s="32"/>
      <c r="D114" s="32"/>
      <c r="E114" s="65"/>
      <c r="F114" s="65"/>
      <c r="G114" s="71"/>
      <c r="H114" s="36"/>
      <c r="I114" s="36"/>
    </row>
    <row r="115" spans="1:9" ht="12.75">
      <c r="A115" s="107" t="s">
        <v>26</v>
      </c>
      <c r="B115" s="65" t="s">
        <v>77</v>
      </c>
      <c r="C115" s="32" t="s">
        <v>25</v>
      </c>
      <c r="D115" s="65">
        <v>120</v>
      </c>
      <c r="E115" s="65">
        <v>130</v>
      </c>
      <c r="F115" s="108">
        <f>+G115-108.4</f>
        <v>21.900000000000006</v>
      </c>
      <c r="G115" s="109">
        <v>130.3</v>
      </c>
      <c r="H115" s="36">
        <f t="shared" si="4"/>
        <v>1.0858333333333334</v>
      </c>
      <c r="I115" s="36">
        <f>+G115/E115</f>
        <v>1.0023076923076923</v>
      </c>
    </row>
    <row r="116" spans="1:9" ht="12.75">
      <c r="A116" s="110"/>
      <c r="B116" s="111" t="s">
        <v>78</v>
      </c>
      <c r="C116" s="32"/>
      <c r="D116" s="65"/>
      <c r="E116" s="65"/>
      <c r="F116" s="65"/>
      <c r="G116" s="40"/>
      <c r="H116" s="36"/>
      <c r="I116" s="36"/>
    </row>
    <row r="117" spans="1:9" ht="12.75">
      <c r="A117" s="110"/>
      <c r="B117" s="65" t="s">
        <v>79</v>
      </c>
      <c r="C117" s="28" t="s">
        <v>80</v>
      </c>
      <c r="D117" s="65">
        <v>120</v>
      </c>
      <c r="E117" s="65">
        <f>+E115</f>
        <v>130</v>
      </c>
      <c r="F117" s="108">
        <f>+F115</f>
        <v>21.900000000000006</v>
      </c>
      <c r="G117" s="65">
        <f>+G115</f>
        <v>130.3</v>
      </c>
      <c r="H117" s="36">
        <f t="shared" si="4"/>
        <v>1.0858333333333334</v>
      </c>
      <c r="I117" s="36">
        <f>+G117/E117</f>
        <v>1.0023076923076923</v>
      </c>
    </row>
    <row r="118" spans="1:9" ht="12.75">
      <c r="A118" s="110"/>
      <c r="B118" s="112" t="s">
        <v>81</v>
      </c>
      <c r="C118" s="28" t="s">
        <v>80</v>
      </c>
      <c r="D118" s="65"/>
      <c r="E118" s="65"/>
      <c r="F118" s="65"/>
      <c r="G118" s="65"/>
      <c r="H118" s="36"/>
      <c r="I118" s="36"/>
    </row>
    <row r="119" spans="1:9" ht="12.75">
      <c r="A119" s="110"/>
      <c r="B119" s="65" t="s">
        <v>82</v>
      </c>
      <c r="C119" s="28" t="s">
        <v>80</v>
      </c>
      <c r="D119" s="65"/>
      <c r="E119" s="65"/>
      <c r="F119" s="65"/>
      <c r="G119" s="65"/>
      <c r="H119" s="36"/>
      <c r="I119" s="36"/>
    </row>
    <row r="120" spans="1:9" ht="12.75">
      <c r="A120" s="110"/>
      <c r="B120" s="82" t="s">
        <v>83</v>
      </c>
      <c r="C120" s="32" t="s">
        <v>25</v>
      </c>
      <c r="D120" s="65"/>
      <c r="E120" s="65"/>
      <c r="F120" s="65"/>
      <c r="G120" s="65"/>
      <c r="H120" s="36"/>
      <c r="I120" s="36"/>
    </row>
    <row r="121" spans="1:9" ht="12.75">
      <c r="A121" s="107" t="s">
        <v>43</v>
      </c>
      <c r="B121" s="65" t="s">
        <v>84</v>
      </c>
      <c r="C121" s="32" t="s">
        <v>25</v>
      </c>
      <c r="D121" s="65">
        <v>385</v>
      </c>
      <c r="E121" s="65">
        <v>314</v>
      </c>
      <c r="F121" s="65"/>
      <c r="G121" s="65"/>
      <c r="H121" s="36">
        <f t="shared" si="4"/>
        <v>0</v>
      </c>
      <c r="I121" s="36">
        <f>+G121/E121</f>
        <v>0</v>
      </c>
    </row>
    <row r="122" spans="1:9" ht="12.75">
      <c r="A122" s="107" t="s">
        <v>52</v>
      </c>
      <c r="B122" s="65" t="s">
        <v>85</v>
      </c>
      <c r="C122" s="32" t="s">
        <v>25</v>
      </c>
      <c r="D122" s="65">
        <v>65</v>
      </c>
      <c r="E122" s="65">
        <v>65</v>
      </c>
      <c r="F122" s="65"/>
      <c r="G122" s="65"/>
      <c r="H122" s="36">
        <f t="shared" si="4"/>
        <v>0</v>
      </c>
      <c r="I122" s="36">
        <f>+G122/E122</f>
        <v>0</v>
      </c>
    </row>
    <row r="123" spans="1:9" ht="12.75">
      <c r="A123" s="107" t="s">
        <v>86</v>
      </c>
      <c r="B123" s="65" t="s">
        <v>87</v>
      </c>
      <c r="C123" s="32" t="s">
        <v>25</v>
      </c>
      <c r="D123" s="71">
        <v>4118.7</v>
      </c>
      <c r="E123" s="71">
        <v>4793</v>
      </c>
      <c r="F123" s="71">
        <f>+G123</f>
        <v>280.994</v>
      </c>
      <c r="G123" s="65">
        <v>280.994</v>
      </c>
      <c r="H123" s="36">
        <f t="shared" si="4"/>
        <v>0.06822395416029331</v>
      </c>
      <c r="I123" s="36">
        <f>+G123/E123</f>
        <v>0.058625912789484674</v>
      </c>
    </row>
    <row r="124" spans="1:9" ht="12.75">
      <c r="A124" s="107" t="s">
        <v>88</v>
      </c>
      <c r="B124" s="65" t="s">
        <v>89</v>
      </c>
      <c r="C124" s="32" t="s">
        <v>90</v>
      </c>
      <c r="D124" s="65">
        <v>127</v>
      </c>
      <c r="E124" s="71">
        <v>1000</v>
      </c>
      <c r="F124" s="71">
        <f>+G124-683.1</f>
        <v>316.9</v>
      </c>
      <c r="G124" s="65">
        <v>1000</v>
      </c>
      <c r="H124" s="36">
        <f t="shared" si="4"/>
        <v>7.874015748031496</v>
      </c>
      <c r="I124" s="36">
        <f>+G124/E124</f>
        <v>1</v>
      </c>
    </row>
    <row r="125" spans="1:9" ht="12.75">
      <c r="A125" s="110" t="s">
        <v>91</v>
      </c>
      <c r="B125" s="101" t="s">
        <v>92</v>
      </c>
      <c r="C125" s="113"/>
      <c r="D125" s="65"/>
      <c r="E125" s="65"/>
      <c r="F125" s="65"/>
      <c r="G125" s="65"/>
      <c r="H125" s="31"/>
      <c r="I125" s="31"/>
    </row>
    <row r="126" spans="1:9" ht="15.75">
      <c r="A126" s="110"/>
      <c r="B126" s="65" t="s">
        <v>93</v>
      </c>
      <c r="C126" s="32" t="s">
        <v>184</v>
      </c>
      <c r="D126" s="65"/>
      <c r="E126" s="65"/>
      <c r="F126" s="65"/>
      <c r="G126" s="65"/>
      <c r="H126" s="31"/>
      <c r="I126" s="31"/>
    </row>
    <row r="127" spans="1:9" ht="12.75">
      <c r="A127" s="110"/>
      <c r="B127" s="65" t="s">
        <v>185</v>
      </c>
      <c r="C127" s="28" t="s">
        <v>80</v>
      </c>
      <c r="D127" s="65"/>
      <c r="E127" s="65"/>
      <c r="F127" s="65"/>
      <c r="G127" s="65"/>
      <c r="H127" s="31"/>
      <c r="I127" s="31"/>
    </row>
    <row r="128" spans="1:9" ht="12.75">
      <c r="A128" s="107" t="s">
        <v>11</v>
      </c>
      <c r="B128" s="114" t="s">
        <v>94</v>
      </c>
      <c r="C128" s="113"/>
      <c r="D128" s="65"/>
      <c r="E128" s="65"/>
      <c r="F128" s="65"/>
      <c r="G128" s="65"/>
      <c r="H128" s="31"/>
      <c r="I128" s="31"/>
    </row>
    <row r="129" spans="1:9" ht="12.75">
      <c r="A129" s="107" t="s">
        <v>95</v>
      </c>
      <c r="B129" s="64" t="s">
        <v>96</v>
      </c>
      <c r="C129" s="32"/>
      <c r="D129" s="65"/>
      <c r="E129" s="65"/>
      <c r="F129" s="65"/>
      <c r="G129" s="65"/>
      <c r="H129" s="31"/>
      <c r="I129" s="31"/>
    </row>
    <row r="130" spans="1:9" ht="14.25">
      <c r="A130" s="110" t="s">
        <v>75</v>
      </c>
      <c r="B130" s="101" t="s">
        <v>97</v>
      </c>
      <c r="C130" s="32" t="s">
        <v>25</v>
      </c>
      <c r="D130" s="115">
        <f>+D131+D137</f>
        <v>53225.63</v>
      </c>
      <c r="E130" s="116">
        <f>E131+E137</f>
        <v>48000</v>
      </c>
      <c r="F130" s="116">
        <v>1383.35</v>
      </c>
      <c r="G130" s="11">
        <f>G131+G137</f>
        <v>49592.85</v>
      </c>
      <c r="H130" s="31">
        <f aca="true" t="shared" si="5" ref="H130:H135">G130/D130</f>
        <v>0.9317475434297349</v>
      </c>
      <c r="I130" s="31">
        <f aca="true" t="shared" si="6" ref="I130:I135">+G130/E130</f>
        <v>1.033184375</v>
      </c>
    </row>
    <row r="131" spans="1:9" ht="14.25">
      <c r="A131" s="107" t="s">
        <v>26</v>
      </c>
      <c r="B131" s="101" t="s">
        <v>98</v>
      </c>
      <c r="C131" s="28" t="s">
        <v>80</v>
      </c>
      <c r="D131" s="115">
        <f>+D132+D134+D136</f>
        <v>4738.24</v>
      </c>
      <c r="E131" s="115">
        <f>E132+E134+E136</f>
        <v>12000</v>
      </c>
      <c r="F131" s="47">
        <f>F132+F134+F136</f>
        <v>376.3</v>
      </c>
      <c r="G131" s="12">
        <f>G132+G134+G136</f>
        <v>3991.6</v>
      </c>
      <c r="H131" s="31">
        <f t="shared" si="5"/>
        <v>0.8424225028702641</v>
      </c>
      <c r="I131" s="31">
        <f t="shared" si="6"/>
        <v>0.33263333333333334</v>
      </c>
    </row>
    <row r="132" spans="1:9" ht="15">
      <c r="A132" s="110"/>
      <c r="B132" s="65" t="s">
        <v>99</v>
      </c>
      <c r="C132" s="28" t="s">
        <v>80</v>
      </c>
      <c r="D132" s="71">
        <v>3701.5</v>
      </c>
      <c r="E132" s="71">
        <v>10600</v>
      </c>
      <c r="F132" s="109">
        <v>327.7</v>
      </c>
      <c r="G132" s="9">
        <v>3199</v>
      </c>
      <c r="H132" s="36">
        <f t="shared" si="5"/>
        <v>0.8642442253140619</v>
      </c>
      <c r="I132" s="36">
        <f t="shared" si="6"/>
        <v>0.3017924528301887</v>
      </c>
    </row>
    <row r="133" spans="1:9" ht="15">
      <c r="A133" s="110"/>
      <c r="B133" s="65" t="s">
        <v>100</v>
      </c>
      <c r="C133" s="28" t="s">
        <v>80</v>
      </c>
      <c r="D133" s="56">
        <v>90.14</v>
      </c>
      <c r="E133" s="71">
        <v>150</v>
      </c>
      <c r="F133" s="109">
        <v>4</v>
      </c>
      <c r="G133" s="8">
        <v>28.42</v>
      </c>
      <c r="H133" s="36">
        <f t="shared" si="5"/>
        <v>0.31528733081872645</v>
      </c>
      <c r="I133" s="36">
        <f t="shared" si="6"/>
        <v>0.18946666666666667</v>
      </c>
    </row>
    <row r="134" spans="1:9" ht="15">
      <c r="A134" s="110"/>
      <c r="B134" s="65" t="s">
        <v>101</v>
      </c>
      <c r="C134" s="28" t="s">
        <v>80</v>
      </c>
      <c r="D134" s="56">
        <v>1036.74</v>
      </c>
      <c r="E134" s="71">
        <v>1300</v>
      </c>
      <c r="F134" s="109">
        <v>48.6</v>
      </c>
      <c r="G134" s="8">
        <f>G135</f>
        <v>762.6</v>
      </c>
      <c r="H134" s="36">
        <f t="shared" si="5"/>
        <v>0.7355749754036692</v>
      </c>
      <c r="I134" s="36">
        <f t="shared" si="6"/>
        <v>0.5866153846153846</v>
      </c>
    </row>
    <row r="135" spans="1:9" ht="15">
      <c r="A135" s="110"/>
      <c r="B135" s="65" t="s">
        <v>102</v>
      </c>
      <c r="C135" s="28" t="s">
        <v>80</v>
      </c>
      <c r="D135" s="56">
        <f>+D134</f>
        <v>1036.74</v>
      </c>
      <c r="E135" s="71">
        <f>+E134</f>
        <v>1300</v>
      </c>
      <c r="F135" s="109">
        <v>48.6</v>
      </c>
      <c r="G135" s="8">
        <v>762.6</v>
      </c>
      <c r="H135" s="36">
        <f t="shared" si="5"/>
        <v>0.7355749754036692</v>
      </c>
      <c r="I135" s="36">
        <f t="shared" si="6"/>
        <v>0.5866153846153846</v>
      </c>
    </row>
    <row r="136" spans="1:9" ht="15">
      <c r="A136" s="110"/>
      <c r="B136" s="65" t="s">
        <v>103</v>
      </c>
      <c r="C136" s="28" t="s">
        <v>80</v>
      </c>
      <c r="D136" s="65"/>
      <c r="E136" s="112">
        <v>100</v>
      </c>
      <c r="F136" s="117">
        <v>0</v>
      </c>
      <c r="G136" s="8">
        <v>30</v>
      </c>
      <c r="H136" s="36"/>
      <c r="I136" s="36"/>
    </row>
    <row r="137" spans="1:9" ht="14.25">
      <c r="A137" s="107" t="s">
        <v>43</v>
      </c>
      <c r="B137" s="101" t="s">
        <v>104</v>
      </c>
      <c r="C137" s="32" t="s">
        <v>25</v>
      </c>
      <c r="D137" s="115">
        <f>+D138+D141+D145</f>
        <v>48487.39</v>
      </c>
      <c r="E137" s="115">
        <f>E138+E141+E145</f>
        <v>36000</v>
      </c>
      <c r="F137" s="86">
        <f>F138+F141+F145</f>
        <v>1007.05</v>
      </c>
      <c r="G137" s="12">
        <f>G138+G141+G145</f>
        <v>45601.25</v>
      </c>
      <c r="H137" s="31">
        <f>G137/D137</f>
        <v>0.9404764826483751</v>
      </c>
      <c r="I137" s="31">
        <f>+G137/E137</f>
        <v>1.266701388888889</v>
      </c>
    </row>
    <row r="138" spans="1:9" ht="15">
      <c r="A138" s="110"/>
      <c r="B138" s="65" t="s">
        <v>99</v>
      </c>
      <c r="C138" s="28"/>
      <c r="D138" s="65"/>
      <c r="E138" s="71"/>
      <c r="F138" s="71"/>
      <c r="G138" s="8">
        <f>G139+G140</f>
        <v>49.6</v>
      </c>
      <c r="H138" s="31"/>
      <c r="I138" s="31"/>
    </row>
    <row r="139" spans="1:9" ht="15">
      <c r="A139" s="110"/>
      <c r="B139" s="65" t="s">
        <v>105</v>
      </c>
      <c r="C139" s="28" t="s">
        <v>80</v>
      </c>
      <c r="D139" s="65"/>
      <c r="E139" s="71"/>
      <c r="F139" s="71"/>
      <c r="G139" s="8"/>
      <c r="H139" s="31"/>
      <c r="I139" s="31"/>
    </row>
    <row r="140" spans="1:9" ht="15">
      <c r="A140" s="110"/>
      <c r="B140" s="65" t="s">
        <v>106</v>
      </c>
      <c r="C140" s="28"/>
      <c r="D140" s="65"/>
      <c r="E140" s="71"/>
      <c r="F140" s="71"/>
      <c r="G140" s="8">
        <v>49.6</v>
      </c>
      <c r="H140" s="31"/>
      <c r="I140" s="31"/>
    </row>
    <row r="141" spans="1:9" ht="15">
      <c r="A141" s="110"/>
      <c r="B141" s="65" t="s">
        <v>101</v>
      </c>
      <c r="C141" s="28" t="s">
        <v>80</v>
      </c>
      <c r="D141" s="109">
        <f>D142+D143+D144</f>
        <v>47354.39</v>
      </c>
      <c r="E141" s="109">
        <f>E142+E143+E144</f>
        <v>33500</v>
      </c>
      <c r="F141" s="109">
        <v>1007.05</v>
      </c>
      <c r="G141" s="9">
        <f>+G142+G143+G144</f>
        <v>45401.65</v>
      </c>
      <c r="H141" s="36">
        <f>G141/D141</f>
        <v>0.9587632741124952</v>
      </c>
      <c r="I141" s="36">
        <f>+G141/E141</f>
        <v>1.3552731343283582</v>
      </c>
    </row>
    <row r="142" spans="1:9" ht="15">
      <c r="A142" s="110"/>
      <c r="B142" s="65" t="s">
        <v>107</v>
      </c>
      <c r="C142" s="28" t="s">
        <v>80</v>
      </c>
      <c r="D142" s="109">
        <v>29787.44</v>
      </c>
      <c r="E142" s="71">
        <v>18000</v>
      </c>
      <c r="F142" s="71">
        <v>20</v>
      </c>
      <c r="G142" s="9">
        <v>25884.6</v>
      </c>
      <c r="H142" s="36">
        <f>G142/D142</f>
        <v>0.8689769916448006</v>
      </c>
      <c r="I142" s="36">
        <f>+G142/E142</f>
        <v>1.4380333333333333</v>
      </c>
    </row>
    <row r="143" spans="1:9" ht="15">
      <c r="A143" s="110"/>
      <c r="B143" s="65" t="s">
        <v>108</v>
      </c>
      <c r="C143" s="28" t="s">
        <v>80</v>
      </c>
      <c r="D143" s="109">
        <v>596.55</v>
      </c>
      <c r="E143" s="71">
        <v>2000</v>
      </c>
      <c r="F143" s="71">
        <v>74.65000000000009</v>
      </c>
      <c r="G143" s="8">
        <v>2182.65</v>
      </c>
      <c r="H143" s="36">
        <f>G143/D143</f>
        <v>3.6587880311792813</v>
      </c>
      <c r="I143" s="36">
        <f>+G143/E143</f>
        <v>1.091325</v>
      </c>
    </row>
    <row r="144" spans="1:9" ht="15">
      <c r="A144" s="110"/>
      <c r="B144" s="65" t="s">
        <v>109</v>
      </c>
      <c r="C144" s="28" t="s">
        <v>80</v>
      </c>
      <c r="D144" s="109">
        <v>16970.4</v>
      </c>
      <c r="E144" s="71">
        <v>13500</v>
      </c>
      <c r="F144" s="71">
        <v>912.4000000000015</v>
      </c>
      <c r="G144" s="9">
        <v>17334.4</v>
      </c>
      <c r="H144" s="36">
        <f>G144/D144</f>
        <v>1.0214491113939566</v>
      </c>
      <c r="I144" s="36">
        <f>+G144/E144</f>
        <v>1.2840296296296296</v>
      </c>
    </row>
    <row r="145" spans="1:9" ht="25.5">
      <c r="A145" s="110"/>
      <c r="B145" s="118" t="s">
        <v>110</v>
      </c>
      <c r="C145" s="28" t="s">
        <v>80</v>
      </c>
      <c r="D145" s="142">
        <v>1133</v>
      </c>
      <c r="E145" s="80">
        <v>2500</v>
      </c>
      <c r="F145" s="80">
        <v>0</v>
      </c>
      <c r="G145" s="10">
        <v>150</v>
      </c>
      <c r="H145" s="54">
        <f>G145/D145</f>
        <v>0.1323918799646955</v>
      </c>
      <c r="I145" s="54">
        <f>+G145/E145</f>
        <v>0.06</v>
      </c>
    </row>
    <row r="146" spans="1:9" ht="15.75">
      <c r="A146" s="110" t="s">
        <v>91</v>
      </c>
      <c r="B146" s="64" t="s">
        <v>111</v>
      </c>
      <c r="C146" s="32" t="s">
        <v>184</v>
      </c>
      <c r="D146" s="65"/>
      <c r="E146" s="65"/>
      <c r="F146" s="65"/>
      <c r="G146" s="119"/>
      <c r="H146" s="31"/>
      <c r="I146" s="31"/>
    </row>
    <row r="147" spans="1:9" ht="12.75">
      <c r="A147" s="110"/>
      <c r="B147" s="120" t="s">
        <v>112</v>
      </c>
      <c r="C147" s="28" t="s">
        <v>80</v>
      </c>
      <c r="D147" s="65"/>
      <c r="E147" s="65"/>
      <c r="F147" s="65"/>
      <c r="G147" s="119"/>
      <c r="H147" s="31"/>
      <c r="I147" s="31"/>
    </row>
    <row r="148" spans="1:9" ht="12.75">
      <c r="A148" s="110"/>
      <c r="B148" s="120" t="s">
        <v>113</v>
      </c>
      <c r="C148" s="28" t="s">
        <v>80</v>
      </c>
      <c r="D148" s="65"/>
      <c r="E148" s="65"/>
      <c r="F148" s="65"/>
      <c r="G148" s="119"/>
      <c r="H148" s="31"/>
      <c r="I148" s="31"/>
    </row>
    <row r="149" spans="1:9" ht="12.75">
      <c r="A149" s="110"/>
      <c r="B149" s="120" t="s">
        <v>114</v>
      </c>
      <c r="C149" s="28" t="s">
        <v>80</v>
      </c>
      <c r="D149" s="65"/>
      <c r="E149" s="65"/>
      <c r="F149" s="65"/>
      <c r="G149" s="119"/>
      <c r="H149" s="31"/>
      <c r="I149" s="31"/>
    </row>
    <row r="150" spans="1:9" ht="12.75">
      <c r="A150" s="110" t="s">
        <v>115</v>
      </c>
      <c r="B150" s="101" t="s">
        <v>116</v>
      </c>
      <c r="C150" s="121" t="s">
        <v>73</v>
      </c>
      <c r="D150" s="65"/>
      <c r="E150" s="65"/>
      <c r="F150" s="65"/>
      <c r="G150" s="119"/>
      <c r="H150" s="31"/>
      <c r="I150" s="31"/>
    </row>
    <row r="151" spans="1:9" ht="12.75">
      <c r="A151" s="110"/>
      <c r="B151" s="122" t="s">
        <v>117</v>
      </c>
      <c r="C151" s="121" t="s">
        <v>80</v>
      </c>
      <c r="D151" s="65"/>
      <c r="E151" s="65"/>
      <c r="F151" s="65"/>
      <c r="G151" s="119"/>
      <c r="H151" s="31"/>
      <c r="I151" s="31"/>
    </row>
    <row r="152" spans="1:9" ht="12.75">
      <c r="A152" s="110"/>
      <c r="B152" s="122" t="s">
        <v>118</v>
      </c>
      <c r="C152" s="121" t="s">
        <v>80</v>
      </c>
      <c r="D152" s="65"/>
      <c r="E152" s="65"/>
      <c r="F152" s="65"/>
      <c r="G152" s="119"/>
      <c r="H152" s="31"/>
      <c r="I152" s="31"/>
    </row>
    <row r="153" spans="1:9" ht="12.75">
      <c r="A153" s="110"/>
      <c r="B153" s="122" t="s">
        <v>119</v>
      </c>
      <c r="C153" s="121" t="s">
        <v>80</v>
      </c>
      <c r="D153" s="56"/>
      <c r="E153" s="123"/>
      <c r="F153" s="123"/>
      <c r="G153" s="119"/>
      <c r="H153" s="31"/>
      <c r="I153" s="31"/>
    </row>
    <row r="154" spans="1:9" ht="12.75">
      <c r="A154" s="101">
        <v>4</v>
      </c>
      <c r="B154" s="124" t="s">
        <v>120</v>
      </c>
      <c r="C154" s="32" t="s">
        <v>36</v>
      </c>
      <c r="D154" s="115">
        <f>+D155+D171</f>
        <v>114089.53</v>
      </c>
      <c r="E154" s="116">
        <f>+E155+E171</f>
        <v>148300</v>
      </c>
      <c r="F154" s="116">
        <f>+F155+F171</f>
        <v>22769.219999999994</v>
      </c>
      <c r="G154" s="116">
        <f>+G155+G171</f>
        <v>122976.7</v>
      </c>
      <c r="H154" s="31">
        <f aca="true" t="shared" si="7" ref="H154:H162">G154/D154</f>
        <v>1.0778964555292672</v>
      </c>
      <c r="I154" s="31">
        <f aca="true" t="shared" si="8" ref="I154:I160">+G154/E154</f>
        <v>0.8292427511800404</v>
      </c>
    </row>
    <row r="155" spans="1:9" ht="12.75">
      <c r="A155" s="110" t="s">
        <v>121</v>
      </c>
      <c r="B155" s="125" t="s">
        <v>122</v>
      </c>
      <c r="C155" s="32" t="s">
        <v>36</v>
      </c>
      <c r="D155" s="115">
        <f>+D156+D162</f>
        <v>57157.86</v>
      </c>
      <c r="E155" s="115">
        <f>E156+E162</f>
        <v>85550</v>
      </c>
      <c r="F155" s="115">
        <f>F156+F162</f>
        <v>13401.689999999997</v>
      </c>
      <c r="G155" s="115">
        <f>G156+G162</f>
        <v>66099.23</v>
      </c>
      <c r="H155" s="31">
        <f t="shared" si="7"/>
        <v>1.1564329035411751</v>
      </c>
      <c r="I155" s="31">
        <f t="shared" si="8"/>
        <v>0.7726385739333722</v>
      </c>
    </row>
    <row r="156" spans="1:9" ht="12.75">
      <c r="A156" s="107" t="s">
        <v>123</v>
      </c>
      <c r="B156" s="101" t="s">
        <v>98</v>
      </c>
      <c r="C156" s="32" t="s">
        <v>36</v>
      </c>
      <c r="D156" s="115">
        <f>D157+D159+D161</f>
        <v>41935.07</v>
      </c>
      <c r="E156" s="115">
        <f>E157+E159+E161</f>
        <v>55800</v>
      </c>
      <c r="F156" s="115">
        <f>F157+F159+F161</f>
        <v>8815.409999999996</v>
      </c>
      <c r="G156" s="115">
        <f>G157+G159+G161</f>
        <v>43921.1</v>
      </c>
      <c r="H156" s="31">
        <f t="shared" si="7"/>
        <v>1.047359644326336</v>
      </c>
      <c r="I156" s="31">
        <f t="shared" si="8"/>
        <v>0.7871164874551971</v>
      </c>
    </row>
    <row r="157" spans="1:9" ht="12.75">
      <c r="A157" s="110"/>
      <c r="B157" s="65" t="s">
        <v>124</v>
      </c>
      <c r="C157" s="28" t="s">
        <v>80</v>
      </c>
      <c r="D157" s="109">
        <f>15823.41+D158+8785.64</f>
        <v>41407.649999999994</v>
      </c>
      <c r="E157" s="71">
        <v>54900</v>
      </c>
      <c r="F157" s="71">
        <f>G157-34723.3</f>
        <v>8728.299999999996</v>
      </c>
      <c r="G157" s="119">
        <f>43701.6-G163</f>
        <v>43451.6</v>
      </c>
      <c r="H157" s="36">
        <f t="shared" si="7"/>
        <v>1.049361651772076</v>
      </c>
      <c r="I157" s="36">
        <f t="shared" si="8"/>
        <v>0.7914681238615665</v>
      </c>
    </row>
    <row r="158" spans="1:9" ht="12.75">
      <c r="A158" s="110"/>
      <c r="B158" s="65" t="s">
        <v>186</v>
      </c>
      <c r="C158" s="28" t="s">
        <v>80</v>
      </c>
      <c r="D158" s="109">
        <v>16798.6</v>
      </c>
      <c r="E158" s="71">
        <v>26300</v>
      </c>
      <c r="F158" s="71">
        <f>G158-9842</f>
        <v>1748</v>
      </c>
      <c r="G158" s="56">
        <v>11590</v>
      </c>
      <c r="H158" s="36">
        <f t="shared" si="7"/>
        <v>0.6899384472515567</v>
      </c>
      <c r="I158" s="36">
        <f t="shared" si="8"/>
        <v>0.44068441064638786</v>
      </c>
    </row>
    <row r="159" spans="1:9" ht="12.75">
      <c r="A159" s="110"/>
      <c r="B159" s="65" t="s">
        <v>125</v>
      </c>
      <c r="C159" s="28" t="s">
        <v>80</v>
      </c>
      <c r="D159" s="109">
        <f>D160</f>
        <v>418.26</v>
      </c>
      <c r="E159" s="71">
        <v>800</v>
      </c>
      <c r="F159" s="71">
        <f>F160</f>
        <v>50.610000000000014</v>
      </c>
      <c r="G159" s="56">
        <f>G160</f>
        <v>355</v>
      </c>
      <c r="H159" s="36">
        <f t="shared" si="7"/>
        <v>0.8487543633146847</v>
      </c>
      <c r="I159" s="36">
        <f t="shared" si="8"/>
        <v>0.44375</v>
      </c>
    </row>
    <row r="160" spans="1:9" ht="15.75">
      <c r="A160" s="110"/>
      <c r="B160" s="65" t="s">
        <v>126</v>
      </c>
      <c r="C160" s="28" t="s">
        <v>80</v>
      </c>
      <c r="D160" s="109">
        <v>418.26</v>
      </c>
      <c r="E160" s="71">
        <f>+E159</f>
        <v>800</v>
      </c>
      <c r="F160" s="71">
        <f>G160-304.39</f>
        <v>50.610000000000014</v>
      </c>
      <c r="G160" s="56">
        <v>355</v>
      </c>
      <c r="H160" s="36">
        <f t="shared" si="7"/>
        <v>0.8487543633146847</v>
      </c>
      <c r="I160" s="36">
        <f t="shared" si="8"/>
        <v>0.44375</v>
      </c>
    </row>
    <row r="161" spans="1:9" ht="12.75">
      <c r="A161" s="110"/>
      <c r="B161" s="65" t="s">
        <v>127</v>
      </c>
      <c r="C161" s="28" t="s">
        <v>80</v>
      </c>
      <c r="D161" s="108">
        <v>109.16</v>
      </c>
      <c r="E161" s="71">
        <v>100</v>
      </c>
      <c r="F161" s="71">
        <f>G161-78</f>
        <v>36.5</v>
      </c>
      <c r="G161" s="119">
        <v>114.5</v>
      </c>
      <c r="H161" s="36">
        <f t="shared" si="7"/>
        <v>1.048919017955295</v>
      </c>
      <c r="I161" s="36"/>
    </row>
    <row r="162" spans="1:9" ht="12.75">
      <c r="A162" s="107" t="s">
        <v>172</v>
      </c>
      <c r="B162" s="101" t="s">
        <v>104</v>
      </c>
      <c r="C162" s="32" t="s">
        <v>36</v>
      </c>
      <c r="D162" s="116">
        <f>+D163+D166+D170</f>
        <v>15222.789999999999</v>
      </c>
      <c r="E162" s="115">
        <f>E163+E166+E170</f>
        <v>29750</v>
      </c>
      <c r="F162" s="115">
        <f>F163+F166+F170</f>
        <v>4586.280000000001</v>
      </c>
      <c r="G162" s="115">
        <f>G163+G166+G170</f>
        <v>22178.13</v>
      </c>
      <c r="H162" s="31">
        <f t="shared" si="7"/>
        <v>1.4569031038331346</v>
      </c>
      <c r="I162" s="31">
        <f>+G162/E162</f>
        <v>0.7454833613445379</v>
      </c>
    </row>
    <row r="163" spans="1:9" ht="12.75">
      <c r="A163" s="110"/>
      <c r="B163" s="65" t="s">
        <v>128</v>
      </c>
      <c r="C163" s="28" t="s">
        <v>80</v>
      </c>
      <c r="D163" s="65"/>
      <c r="E163" s="71"/>
      <c r="F163" s="71">
        <f>G163-250</f>
        <v>0</v>
      </c>
      <c r="G163" s="56">
        <v>250</v>
      </c>
      <c r="H163" s="31"/>
      <c r="I163" s="31"/>
    </row>
    <row r="164" spans="1:9" ht="15.75">
      <c r="A164" s="110"/>
      <c r="B164" s="65" t="s">
        <v>129</v>
      </c>
      <c r="C164" s="28" t="s">
        <v>80</v>
      </c>
      <c r="D164" s="65"/>
      <c r="E164" s="71"/>
      <c r="F164" s="71"/>
      <c r="G164" s="119"/>
      <c r="H164" s="31"/>
      <c r="I164" s="31"/>
    </row>
    <row r="165" spans="1:9" ht="12.75">
      <c r="A165" s="110"/>
      <c r="B165" s="65" t="s">
        <v>130</v>
      </c>
      <c r="C165" s="28"/>
      <c r="D165" s="65"/>
      <c r="E165" s="71"/>
      <c r="F165" s="71"/>
      <c r="G165" s="119"/>
      <c r="H165" s="31"/>
      <c r="I165" s="31"/>
    </row>
    <row r="166" spans="1:9" ht="12.75">
      <c r="A166" s="110"/>
      <c r="B166" s="65" t="s">
        <v>173</v>
      </c>
      <c r="C166" s="28" t="s">
        <v>80</v>
      </c>
      <c r="D166" s="109">
        <f>D167+D168+D169</f>
        <v>14627.789999999999</v>
      </c>
      <c r="E166" s="71">
        <f>E167+E168+E169</f>
        <v>28250</v>
      </c>
      <c r="F166" s="71">
        <f>F167+F168+F169</f>
        <v>4257.580000000001</v>
      </c>
      <c r="G166" s="93">
        <f>G167+G168+G169</f>
        <v>21201.13</v>
      </c>
      <c r="H166" s="36">
        <f aca="true" t="shared" si="9" ref="H166:H173">G166/D166</f>
        <v>1.4493734186777363</v>
      </c>
      <c r="I166" s="36">
        <f aca="true" t="shared" si="10" ref="I166:I173">+G166/E166</f>
        <v>0.7504824778761062</v>
      </c>
    </row>
    <row r="167" spans="1:9" ht="15.75">
      <c r="A167" s="110"/>
      <c r="B167" s="65" t="s">
        <v>131</v>
      </c>
      <c r="C167" s="28" t="s">
        <v>80</v>
      </c>
      <c r="D167" s="109">
        <v>8150.98</v>
      </c>
      <c r="E167" s="71">
        <v>14800</v>
      </c>
      <c r="F167" s="71">
        <f>G167-7205.75</f>
        <v>1837.25</v>
      </c>
      <c r="G167" s="71">
        <v>9043</v>
      </c>
      <c r="H167" s="36">
        <f t="shared" si="9"/>
        <v>1.1094371474350324</v>
      </c>
      <c r="I167" s="36">
        <f t="shared" si="10"/>
        <v>0.6110135135135135</v>
      </c>
    </row>
    <row r="168" spans="1:9" ht="12.75">
      <c r="A168" s="110"/>
      <c r="B168" s="65" t="s">
        <v>132</v>
      </c>
      <c r="C168" s="28" t="s">
        <v>80</v>
      </c>
      <c r="D168" s="109">
        <v>496.81</v>
      </c>
      <c r="E168" s="71">
        <v>5200</v>
      </c>
      <c r="F168" s="71">
        <f>G168-4228.9</f>
        <v>1340.3200000000006</v>
      </c>
      <c r="G168" s="71">
        <v>5569.22</v>
      </c>
      <c r="H168" s="36">
        <f t="shared" si="9"/>
        <v>11.209959541877177</v>
      </c>
      <c r="I168" s="36">
        <f t="shared" si="10"/>
        <v>1.0710038461538463</v>
      </c>
    </row>
    <row r="169" spans="1:9" ht="12.75">
      <c r="A169" s="110"/>
      <c r="B169" s="65" t="s">
        <v>133</v>
      </c>
      <c r="C169" s="28" t="s">
        <v>80</v>
      </c>
      <c r="D169" s="109">
        <v>5980</v>
      </c>
      <c r="E169" s="71">
        <v>8250</v>
      </c>
      <c r="F169" s="71">
        <f>G169-5508.9</f>
        <v>1080.0100000000002</v>
      </c>
      <c r="G169" s="71">
        <v>6588.91</v>
      </c>
      <c r="H169" s="36">
        <f t="shared" si="9"/>
        <v>1.101824414715719</v>
      </c>
      <c r="I169" s="36">
        <f t="shared" si="10"/>
        <v>0.7986557575757576</v>
      </c>
    </row>
    <row r="170" spans="1:9" ht="25.5">
      <c r="A170" s="110"/>
      <c r="B170" s="126" t="s">
        <v>134</v>
      </c>
      <c r="C170" s="28" t="s">
        <v>80</v>
      </c>
      <c r="D170" s="143">
        <v>595</v>
      </c>
      <c r="E170" s="80">
        <v>1500</v>
      </c>
      <c r="F170" s="80">
        <f>G170-398.3</f>
        <v>328.7</v>
      </c>
      <c r="G170" s="80">
        <v>727</v>
      </c>
      <c r="H170" s="54">
        <f t="shared" si="9"/>
        <v>1.2218487394957984</v>
      </c>
      <c r="I170" s="54">
        <f t="shared" si="10"/>
        <v>0.4846666666666667</v>
      </c>
    </row>
    <row r="171" spans="1:9" ht="12.75">
      <c r="A171" s="110" t="s">
        <v>135</v>
      </c>
      <c r="B171" s="127" t="s">
        <v>136</v>
      </c>
      <c r="C171" s="32" t="s">
        <v>36</v>
      </c>
      <c r="D171" s="115">
        <f>+D172+D183</f>
        <v>56931.67</v>
      </c>
      <c r="E171" s="115">
        <f>E172+E183</f>
        <v>62750</v>
      </c>
      <c r="F171" s="115">
        <f>F172+F183</f>
        <v>9367.529999999999</v>
      </c>
      <c r="G171" s="115">
        <f>G172+G183</f>
        <v>56877.47</v>
      </c>
      <c r="H171" s="31">
        <f t="shared" si="9"/>
        <v>0.9990479815540279</v>
      </c>
      <c r="I171" s="31">
        <f t="shared" si="10"/>
        <v>0.9064138645418327</v>
      </c>
    </row>
    <row r="172" spans="1:9" ht="12.75">
      <c r="A172" s="107" t="s">
        <v>174</v>
      </c>
      <c r="B172" s="127" t="s">
        <v>137</v>
      </c>
      <c r="C172" s="32" t="s">
        <v>36</v>
      </c>
      <c r="D172" s="115">
        <f>D173+D176+D179+D182</f>
        <v>46191.53999999999</v>
      </c>
      <c r="E172" s="115">
        <f>E173+E176+E179+E182</f>
        <v>50550</v>
      </c>
      <c r="F172" s="115">
        <f>F173+F176+F179+F182</f>
        <v>6283.829999999999</v>
      </c>
      <c r="G172" s="115">
        <f>G173+G176+G179+G182</f>
        <v>46245.52</v>
      </c>
      <c r="H172" s="31">
        <f t="shared" si="9"/>
        <v>1.001168612261033</v>
      </c>
      <c r="I172" s="31">
        <f t="shared" si="10"/>
        <v>0.9148470820969337</v>
      </c>
    </row>
    <row r="173" spans="1:9" ht="12.75">
      <c r="A173" s="110"/>
      <c r="B173" s="128" t="s">
        <v>138</v>
      </c>
      <c r="C173" s="32" t="s">
        <v>36</v>
      </c>
      <c r="D173" s="109">
        <v>17954.17</v>
      </c>
      <c r="E173" s="71">
        <v>20500</v>
      </c>
      <c r="F173" s="71">
        <f>G173-17315.53</f>
        <v>1387.6599999999999</v>
      </c>
      <c r="G173" s="56">
        <v>18703.19</v>
      </c>
      <c r="H173" s="36">
        <f t="shared" si="9"/>
        <v>1.0417184420109646</v>
      </c>
      <c r="I173" s="36">
        <f t="shared" si="10"/>
        <v>0.9123507317073171</v>
      </c>
    </row>
    <row r="174" spans="1:9" ht="12.75">
      <c r="A174" s="110"/>
      <c r="B174" s="128" t="s">
        <v>139</v>
      </c>
      <c r="C174" s="28" t="s">
        <v>80</v>
      </c>
      <c r="D174" s="109"/>
      <c r="E174" s="109"/>
      <c r="F174" s="109"/>
      <c r="G174" s="65"/>
      <c r="H174" s="36"/>
      <c r="I174" s="36"/>
    </row>
    <row r="175" spans="1:9" ht="12.75">
      <c r="A175" s="110"/>
      <c r="B175" s="128" t="s">
        <v>140</v>
      </c>
      <c r="C175" s="28" t="s">
        <v>80</v>
      </c>
      <c r="D175" s="109"/>
      <c r="E175" s="71"/>
      <c r="F175" s="71"/>
      <c r="G175" s="65"/>
      <c r="H175" s="36"/>
      <c r="I175" s="36"/>
    </row>
    <row r="176" spans="1:9" ht="12.75">
      <c r="A176" s="110"/>
      <c r="B176" s="128" t="s">
        <v>141</v>
      </c>
      <c r="C176" s="32" t="s">
        <v>36</v>
      </c>
      <c r="D176" s="109">
        <v>9897.24</v>
      </c>
      <c r="E176" s="71">
        <v>4500</v>
      </c>
      <c r="F176" s="71">
        <f>F177</f>
        <v>966.21</v>
      </c>
      <c r="G176" s="56">
        <f>G177</f>
        <v>6766.21</v>
      </c>
      <c r="H176" s="36">
        <f>G176/D176</f>
        <v>0.6836461478149464</v>
      </c>
      <c r="I176" s="36">
        <f>+G176/E176</f>
        <v>1.5036022222222223</v>
      </c>
    </row>
    <row r="177" spans="1:9" ht="12.75">
      <c r="A177" s="110"/>
      <c r="B177" s="128" t="s">
        <v>142</v>
      </c>
      <c r="C177" s="28" t="s">
        <v>80</v>
      </c>
      <c r="D177" s="109">
        <v>5081.15</v>
      </c>
      <c r="E177" s="71">
        <f>+E176</f>
        <v>4500</v>
      </c>
      <c r="F177" s="71">
        <f>G177-5800</f>
        <v>966.21</v>
      </c>
      <c r="G177" s="56">
        <v>6766.21</v>
      </c>
      <c r="H177" s="36">
        <f>G177/D177</f>
        <v>1.331629650768035</v>
      </c>
      <c r="I177" s="36">
        <f>+G177/E177</f>
        <v>1.5036022222222223</v>
      </c>
    </row>
    <row r="178" spans="1:9" ht="12.75">
      <c r="A178" s="110"/>
      <c r="B178" s="128" t="s">
        <v>140</v>
      </c>
      <c r="C178" s="28" t="s">
        <v>80</v>
      </c>
      <c r="D178" s="109"/>
      <c r="E178" s="71"/>
      <c r="F178" s="71"/>
      <c r="G178" s="65"/>
      <c r="H178" s="36"/>
      <c r="I178" s="36"/>
    </row>
    <row r="179" spans="1:9" ht="12.75">
      <c r="A179" s="110"/>
      <c r="B179" s="128" t="s">
        <v>143</v>
      </c>
      <c r="C179" s="32" t="s">
        <v>36</v>
      </c>
      <c r="D179" s="109"/>
      <c r="E179" s="71"/>
      <c r="F179" s="71">
        <f>G179-505</f>
        <v>0</v>
      </c>
      <c r="G179" s="65">
        <v>505</v>
      </c>
      <c r="H179" s="36"/>
      <c r="I179" s="36"/>
    </row>
    <row r="180" spans="1:9" ht="12.75">
      <c r="A180" s="110"/>
      <c r="B180" s="128" t="s">
        <v>139</v>
      </c>
      <c r="C180" s="28" t="s">
        <v>80</v>
      </c>
      <c r="D180" s="109"/>
      <c r="E180" s="71"/>
      <c r="F180" s="71"/>
      <c r="G180" s="65"/>
      <c r="H180" s="36"/>
      <c r="I180" s="36"/>
    </row>
    <row r="181" spans="1:9" ht="12.75">
      <c r="A181" s="110"/>
      <c r="B181" s="128" t="s">
        <v>140</v>
      </c>
      <c r="C181" s="28" t="s">
        <v>80</v>
      </c>
      <c r="D181" s="109"/>
      <c r="E181" s="71"/>
      <c r="F181" s="71"/>
      <c r="G181" s="65"/>
      <c r="H181" s="36"/>
      <c r="I181" s="36"/>
    </row>
    <row r="182" spans="1:9" ht="12.75">
      <c r="A182" s="110"/>
      <c r="B182" s="128" t="s">
        <v>144</v>
      </c>
      <c r="C182" s="28" t="s">
        <v>80</v>
      </c>
      <c r="D182" s="109">
        <v>18340.13</v>
      </c>
      <c r="E182" s="71">
        <v>25550</v>
      </c>
      <c r="F182" s="71">
        <f>G182-16341.16</f>
        <v>3929.959999999999</v>
      </c>
      <c r="G182" s="119">
        <f>20776.12-G179</f>
        <v>20271.12</v>
      </c>
      <c r="H182" s="36">
        <f>G182/D182</f>
        <v>1.105287694252985</v>
      </c>
      <c r="I182" s="36">
        <f>+G182/E182</f>
        <v>0.7933902152641878</v>
      </c>
    </row>
    <row r="183" spans="1:9" ht="12.75">
      <c r="A183" s="107" t="s">
        <v>145</v>
      </c>
      <c r="B183" s="127" t="s">
        <v>146</v>
      </c>
      <c r="C183" s="32" t="s">
        <v>36</v>
      </c>
      <c r="D183" s="144">
        <f>D184+D185+D186+D187+D188</f>
        <v>10740.130000000001</v>
      </c>
      <c r="E183" s="115">
        <f>E184+E185+E186+E187+E188</f>
        <v>12200</v>
      </c>
      <c r="F183" s="115">
        <f>F184+F185+F186+F187+F188</f>
        <v>3083.7</v>
      </c>
      <c r="G183" s="115">
        <f>G184+G185+G186+G187+G188</f>
        <v>10631.95</v>
      </c>
      <c r="H183" s="31">
        <f>G183/D183</f>
        <v>0.9899274962221127</v>
      </c>
      <c r="I183" s="31">
        <f>+G183/E183</f>
        <v>0.8714713114754099</v>
      </c>
    </row>
    <row r="184" spans="1:9" ht="12.75">
      <c r="A184" s="110"/>
      <c r="B184" s="111" t="s">
        <v>187</v>
      </c>
      <c r="C184" s="28" t="s">
        <v>80</v>
      </c>
      <c r="D184" s="109">
        <v>4778.52</v>
      </c>
      <c r="E184" s="71">
        <v>5500</v>
      </c>
      <c r="F184" s="71">
        <f>G184-3146.67</f>
        <v>1694.4700000000003</v>
      </c>
      <c r="G184" s="119">
        <f>4841.14</f>
        <v>4841.14</v>
      </c>
      <c r="H184" s="36">
        <f>G184/D184</f>
        <v>1.0131044758628194</v>
      </c>
      <c r="I184" s="36">
        <f>+G184/E184</f>
        <v>0.8802072727272728</v>
      </c>
    </row>
    <row r="185" spans="1:9" ht="12.75">
      <c r="A185" s="110"/>
      <c r="B185" s="65" t="s">
        <v>147</v>
      </c>
      <c r="C185" s="28" t="s">
        <v>80</v>
      </c>
      <c r="D185" s="109">
        <v>3141</v>
      </c>
      <c r="E185" s="71">
        <v>4500</v>
      </c>
      <c r="F185" s="71">
        <f>G185-2667.07</f>
        <v>518.29</v>
      </c>
      <c r="G185" s="56">
        <v>3185.36</v>
      </c>
      <c r="H185" s="36">
        <f>G185/D185</f>
        <v>1.0141228907991087</v>
      </c>
      <c r="I185" s="36">
        <f>+G185/E185</f>
        <v>0.7078577777777778</v>
      </c>
    </row>
    <row r="186" spans="1:9" ht="12.75">
      <c r="A186" s="110"/>
      <c r="B186" s="112" t="s">
        <v>148</v>
      </c>
      <c r="C186" s="28" t="s">
        <v>80</v>
      </c>
      <c r="D186" s="109"/>
      <c r="E186" s="71"/>
      <c r="F186" s="71">
        <f>G186-20</f>
        <v>0</v>
      </c>
      <c r="G186" s="56">
        <v>20</v>
      </c>
      <c r="H186" s="36"/>
      <c r="I186" s="36"/>
    </row>
    <row r="187" spans="1:9" ht="25.5">
      <c r="A187" s="67"/>
      <c r="B187" s="82" t="s">
        <v>149</v>
      </c>
      <c r="C187" s="28" t="s">
        <v>80</v>
      </c>
      <c r="D187" s="142"/>
      <c r="E187" s="80"/>
      <c r="F187" s="80">
        <f>G187-25</f>
        <v>0</v>
      </c>
      <c r="G187" s="53">
        <v>25</v>
      </c>
      <c r="H187" s="54"/>
      <c r="I187" s="54"/>
    </row>
    <row r="188" spans="1:9" ht="12.75">
      <c r="A188" s="129"/>
      <c r="B188" s="130" t="s">
        <v>150</v>
      </c>
      <c r="C188" s="131" t="s">
        <v>80</v>
      </c>
      <c r="D188" s="145">
        <v>2820.61</v>
      </c>
      <c r="E188" s="132">
        <v>2200</v>
      </c>
      <c r="F188" s="132">
        <f>G188-1689.51</f>
        <v>870.9399999999998</v>
      </c>
      <c r="G188" s="133">
        <f>2605.45-G186-G187</f>
        <v>2560.45</v>
      </c>
      <c r="H188" s="134">
        <f>G188/D188</f>
        <v>0.9077646324731174</v>
      </c>
      <c r="I188" s="134">
        <f>+G188/E188</f>
        <v>1.163840909090909</v>
      </c>
    </row>
  </sheetData>
  <mergeCells count="12">
    <mergeCell ref="B9:C9"/>
    <mergeCell ref="F7:F8"/>
    <mergeCell ref="E7:E8"/>
    <mergeCell ref="G7:G8"/>
    <mergeCell ref="B7:B8"/>
    <mergeCell ref="C7:C8"/>
    <mergeCell ref="D7:D8"/>
    <mergeCell ref="H7:I7"/>
    <mergeCell ref="A3:I3"/>
    <mergeCell ref="A4:I4"/>
    <mergeCell ref="A5:I5"/>
    <mergeCell ref="A7:A8"/>
  </mergeCells>
  <printOptions/>
  <pageMargins left="0.24" right="0.25" top="0.37" bottom="0.2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 DAO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Thanh An</cp:lastModifiedBy>
  <cp:lastPrinted>2013-10-03T02:37:25Z</cp:lastPrinted>
  <dcterms:created xsi:type="dcterms:W3CDTF">2012-10-04T08:51:42Z</dcterms:created>
  <dcterms:modified xsi:type="dcterms:W3CDTF">2013-10-03T02:46:46Z</dcterms:modified>
  <cp:category/>
  <cp:version/>
  <cp:contentType/>
  <cp:contentStatus/>
</cp:coreProperties>
</file>